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emf" ContentType="image/x-emf"/>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trlProps/ctrlProp7.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6.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7.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8.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trlProps/ctrlProp8.xml" ContentType="application/vnd.ms-excel.controlproperties+xml"/>
  <Override PartName="/xl/ctrlProps/ctrlProp9.xml" ContentType="application/vnd.ms-excel.controlproperti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1.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2.xml" ContentType="application/vnd.openxmlformats-officedocument.drawingml.chartshapes+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3.xml" ContentType="application/vnd.openxmlformats-officedocument.drawingml.chartshapes+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4.xml" ContentType="application/vnd.openxmlformats-officedocument.drawingml.chartshapes+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mc:AlternateContent xmlns:mc="http://schemas.openxmlformats.org/markup-compatibility/2006">
    <mc:Choice Requires="x15">
      <x15ac:absPath xmlns:x15ac="http://schemas.microsoft.com/office/spreadsheetml/2010/11/ac" url="C:\Users\cmahnken\Desktop\AgPlan Financials Work\"/>
    </mc:Choice>
  </mc:AlternateContent>
  <xr:revisionPtr revIDLastSave="0" documentId="13_ncr:1_{3D2D5E71-E08C-4F89-926A-8DCF48F45DB8}" xr6:coauthVersionLast="45" xr6:coauthVersionMax="45" xr10:uidLastSave="{00000000-0000-0000-0000-000000000000}"/>
  <bookViews>
    <workbookView xWindow="3120" yWindow="3120" windowWidth="38700" windowHeight="15435" xr2:uid="{00000000-000D-0000-FFFF-FFFF00000000}"/>
  </bookViews>
  <sheets>
    <sheet name="Gen Info" sheetId="10" r:id="rId1"/>
    <sheet name="Inputs" sheetId="13" state="hidden" r:id="rId2"/>
    <sheet name="Asset Entry" sheetId="4" r:id="rId3"/>
    <sheet name="Inventory" sheetId="18" r:id="rId4"/>
    <sheet name="Liability Entry" sheetId="5" r:id="rId5"/>
    <sheet name="Loan Entry" sheetId="12" r:id="rId6"/>
    <sheet name="Final Balance Sheet" sheetId="11" r:id="rId7"/>
    <sheet name="Loans to Cash Flows Wkst" sheetId="14" state="hidden" r:id="rId8"/>
    <sheet name="Schedule F Entry" sheetId="24" r:id="rId9"/>
    <sheet name="Schedule F Cash to Accrual" sheetId="25" r:id="rId10"/>
    <sheet name="Schedule F Cash to Accrual Det" sheetId="23" state="hidden" r:id="rId11"/>
    <sheet name="Cash Flows" sheetId="8" r:id="rId12"/>
    <sheet name="ProposedLoans" sheetId="15" r:id="rId13"/>
    <sheet name="ProposedLoansWkst" sheetId="16" state="hidden" r:id="rId14"/>
    <sheet name="Projected Inventory" sheetId="21" r:id="rId15"/>
    <sheet name="Final Income and Cash Flows" sheetId="2" r:id="rId16"/>
    <sheet name="Financial Scorecard" sheetId="19" r:id="rId17"/>
    <sheet name="Projected BS" sheetId="20" state="hidden" r:id="rId18"/>
    <sheet name="Dashboard" sheetId="22" r:id="rId19"/>
  </sheets>
  <definedNames>
    <definedName name="_xlnm._FilterDatabase" localSheetId="15" hidden="1">'Final Income and Cash Flows'!$E$82:$E$178</definedName>
    <definedName name="_xlcn.WorksheetConnection_FishBizFinancials.xlsxTabAPHideDM1" hidden="1">'Final Income and Cash Flows'!$A$82:$A$178</definedName>
    <definedName name="_xlcn.WorksheetConnection_FishBizFinancials.xlsxTabMPHideDM1" hidden="1">'Cash Flows'!$K$1:$K$61</definedName>
    <definedName name="ACFBegLoanBal">'Cash Flows'!$D$212</definedName>
    <definedName name="ACFBuildBSValTot">'Cash Flows'!$D$234</definedName>
    <definedName name="ACFCapPurchBuildingsTot">'Cash Flows'!$D$71</definedName>
    <definedName name="ACFCapPurchEquipTot">'Cash Flows'!$D$69</definedName>
    <definedName name="ACFCapPurchInput">'Final Income and Cash Flows'!$D$153</definedName>
    <definedName name="ACFCapPurchLandTot">'Cash Flows'!$D$77</definedName>
    <definedName name="ACFCapPurchLivestockTot">'Cash Flows'!$D$73</definedName>
    <definedName name="ACFCapPurchVehTot">'Cash Flows'!$D$75</definedName>
    <definedName name="ACFCropInsIncInput">'Final Income and Cash Flows'!$D$25</definedName>
    <definedName name="ACFCropInsIncTot">'Cash Flows'!$D$16</definedName>
    <definedName name="ACFCullIncomeInput">'Final Income and Cash Flows'!$D$22</definedName>
    <definedName name="ACFCullIncomeTot">'Cash Flows'!$D$14</definedName>
    <definedName name="ACFDMCapPurchInput">'Final Income and Cash Flows'!$D$175</definedName>
    <definedName name="ACFDMCapPurchTot">'Cash Flows'!$D$132</definedName>
    <definedName name="ACFDMEquipBSValTot">'Cash Flows'!$D$249</definedName>
    <definedName name="ACFDMEquipGainInput">'Final Income and Cash Flows'!$D$96</definedName>
    <definedName name="ACFDMEquipGainTot">'Cash Flows'!$D$250</definedName>
    <definedName name="ACFDMEquipSaleInput">'Final Income and Cash Flows'!$D$176</definedName>
    <definedName name="ACFDMEquipSaleTot">'Cash Flows'!$D$131</definedName>
    <definedName name="ACFDMEtcInput">'Final Income and Cash Flows'!$D$94</definedName>
    <definedName name="ACFDMEtcTot">'Cash Flows'!$D$101</definedName>
    <definedName name="ACFDMFCDeprInput">'Final Income and Cash Flows'!$D$118</definedName>
    <definedName name="ACFDMFCDeprTot">'Cash Flows'!$D$248</definedName>
    <definedName name="ACFDMFCIntInput">'Final Income and Cash Flows'!$D$119</definedName>
    <definedName name="ACFDMFCIntTot">'Cash Flows'!$D$138</definedName>
    <definedName name="ACFDMFCMiscInput">'Final Income and Cash Flows'!$D$120</definedName>
    <definedName name="ACFDMFCMiscTot">'Cash Flows'!$D$123</definedName>
    <definedName name="ACFDMFCOthInput">'Final Income and Cash Flows'!$D$121</definedName>
    <definedName name="ACFDMFCOthTot">'Cash Flows'!$D$124</definedName>
    <definedName name="ACFDMFCPermitsInput">'Final Income and Cash Flows'!$D$116</definedName>
    <definedName name="ACFDMFCPermitTot">'Cash Flows'!$D$121</definedName>
    <definedName name="ACFDMFCPromoInput">'Final Income and Cash Flows'!$D$115</definedName>
    <definedName name="ACFDMFCPromoTot">'Cash Flows'!$D$120</definedName>
    <definedName name="ACFDMFCRentInput">'Final Income and Cash Flows'!$D$114</definedName>
    <definedName name="ACFDMFCRentTot">'Cash Flows'!$D$119</definedName>
    <definedName name="ACFDMFCVehInput">'Final Income and Cash Flows'!$D$117</definedName>
    <definedName name="ACFDMFCVehTot">'Cash Flows'!$D$122</definedName>
    <definedName name="ACFDMINVChangeInput">'Final Income and Cash Flows'!$D$95</definedName>
    <definedName name="ACFDMINVChangeTot">'Cash Flows'!$D$247</definedName>
    <definedName name="ACFDMNewCredInput">'Final Income and Cash Flows'!$D$173</definedName>
    <definedName name="ACFDMNewCredTot">'Cash Flows'!$D$139</definedName>
    <definedName name="ACFDMNewDMOpInput">'Final Income and Cash Flows'!$D$174</definedName>
    <definedName name="ACFDMNewDMOpTot">'Cash Flows'!$D$214</definedName>
    <definedName name="ACFDMOthInput">'Final Income and Cash Flows'!$D$97</definedName>
    <definedName name="ACFDMOthTot">'Cash Flows'!$D$102</definedName>
    <definedName name="ACFDMPrinInput">'Final Income and Cash Flows'!$D$172</definedName>
    <definedName name="ACFDMPrinOpTot">'Cash Flows'!#REF!</definedName>
    <definedName name="ACFDMPrinTot">'Cash Flows'!$D$137</definedName>
    <definedName name="ACFDMSalesCSAInput">'Final Income and Cash Flows'!$D$91</definedName>
    <definedName name="ACFDMSalesCSATot">'Cash Flows'!$D$98</definedName>
    <definedName name="ACFDMSalesFarmMktInput">'Final Income and Cash Flows'!$D$90</definedName>
    <definedName name="ACFDMSalesFarmMktTot">'Cash Flows'!$D$97</definedName>
    <definedName name="ACFDMSalesFarmstandInput">'Final Income and Cash Flows'!$D$92</definedName>
    <definedName name="ACFDMSalesFarmstandTot">'Cash Flows'!$D$99</definedName>
    <definedName name="ACFDMSalesOtherInput">'Final Income and Cash Flows'!$D$93</definedName>
    <definedName name="ACFDMSalesOtherTot">'Cash Flows'!$D$100</definedName>
    <definedName name="ACFDMValueLaborTot">'Cash Flows'!$D$246</definedName>
    <definedName name="ACFDMVCColdInput">'Final Income and Cash Flows'!$D$108</definedName>
    <definedName name="ACFDMVCColdTot">'Cash Flows'!$D$113</definedName>
    <definedName name="ACFDMVCInsInput">'Final Income and Cash Flows'!$D$102</definedName>
    <definedName name="ACFDMVCInsTot">'Cash Flows'!$D$107</definedName>
    <definedName name="ACFDMVCLaborInput">'Final Income and Cash Flows'!$D$101</definedName>
    <definedName name="ACFDMVCLaborTot">'Cash Flows'!$D$106</definedName>
    <definedName name="ACFDMVCMktSuppInput">'Final Income and Cash Flows'!$D$105</definedName>
    <definedName name="ACFDMVCMktSuppTot">'Cash Flows'!$D$110</definedName>
    <definedName name="ACFDMVCOthInput">'Final Income and Cash Flows'!$D$110</definedName>
    <definedName name="ACFDMVCOthTot">'Cash Flows'!$D$115</definedName>
    <definedName name="ACFDMVCPackInput">'Final Income and Cash Flows'!$D$103</definedName>
    <definedName name="ACFDMVCPackTot">'Cash Flows'!$D$108</definedName>
    <definedName name="ACFDMVCResaleInput">'Final Income and Cash Flows'!$D$109</definedName>
    <definedName name="ACFDMVCResaleTot">'Cash Flows'!$D$114</definedName>
    <definedName name="ACFDMVCShipInput">'Final Income and Cash Flows'!$D$106</definedName>
    <definedName name="ACFDMVCShippingTot">'Cash Flows'!$D$111</definedName>
    <definedName name="ACFDMVCSuppliesInput">'Final Income and Cash Flows'!$D$104</definedName>
    <definedName name="ACFDMVCSuppliesTot">'Cash Flows'!$D$109</definedName>
    <definedName name="ACFDMVCUtilInput">'Final Income and Cash Flows'!$D$107</definedName>
    <definedName name="ACFDMVCUtilTot">'Cash Flows'!$D$112</definedName>
    <definedName name="ACFEndLoanBal">'Cash Flows'!$D$219</definedName>
    <definedName name="ACFEquipBSValTot">'Cash Flows'!$D$231</definedName>
    <definedName name="ACFEquipBSVehTot">'Cash Flows'!$D$232</definedName>
    <definedName name="ACFFCCarTruckInput">'Final Income and Cash Flows'!$D$69</definedName>
    <definedName name="ACFFCCarTruckTot">'Cash Flows'!$D$58</definedName>
    <definedName name="ACFFCConservationInput">'Final Income and Cash Flows'!$D$70</definedName>
    <definedName name="ACFFCConservationTot">'Cash Flows'!$D$59</definedName>
    <definedName name="ACFFCDeprBuildInput">'Final Income and Cash Flows'!$D$67</definedName>
    <definedName name="ACFFCDeprBuildTot">'Cash Flows'!$D$229</definedName>
    <definedName name="ACFFCDeprEquipInput">'Final Income and Cash Flows'!$D$65</definedName>
    <definedName name="ACFFCDeprEquipTot">'Cash Flows'!$D$227</definedName>
    <definedName name="ACFFCDeprLivestockInput">'Final Income and Cash Flows'!$D$66</definedName>
    <definedName name="ACFFCDeprLivestockTot">'Cash Flows'!$D$228</definedName>
    <definedName name="ACFFCDeprVehTot">'Cash Flows'!$D$230</definedName>
    <definedName name="ACFFCFarmInsInput">'Final Income and Cash Flows'!$D$68</definedName>
    <definedName name="ACFFCFarmInsTot">'Cash Flows'!$D$57</definedName>
    <definedName name="ACFFCInterestInput">'Final Income and Cash Flows'!$D$64</definedName>
    <definedName name="ACFFCInterestTot">'Final Income and Cash Flows'!$C$64</definedName>
    <definedName name="ACFFCLandRentInput">'Final Income and Cash Flows'!$D$52</definedName>
    <definedName name="ACFFCLandRentTot">'Cash Flows'!$D$54</definedName>
    <definedName name="ACFFCMachLeaseInput">'Final Income and Cash Flows'!$D$63</definedName>
    <definedName name="ACFFCMachLeaseTot">'Cash Flows'!$D$55</definedName>
    <definedName name="ACFFCOpLoanInterestTot">'Cash Flows'!$D$216</definedName>
    <definedName name="ACFFCOthInput">'Final Income and Cash Flows'!$D$74</definedName>
    <definedName name="ACFFCOthTot">'Cash Flows'!$D$62</definedName>
    <definedName name="ACFFCPermitInput" localSheetId="9">'Final Income and Cash Flows'!#REF!</definedName>
    <definedName name="ACFFCPermitInput">'Final Income and Cash Flows'!#REF!</definedName>
    <definedName name="ACFFCPermitTot">'Cash Flows'!$D$56</definedName>
    <definedName name="ACFFCProfInput">'Final Income and Cash Flows'!$D$71</definedName>
    <definedName name="ACFFCProfTot">'Cash Flows'!$D$60</definedName>
    <definedName name="ACFFCPropTaxInput">'Final Income and Cash Flows'!$D$73</definedName>
    <definedName name="ACFFCPropTaxTot">'Cash Flows'!$D$61</definedName>
    <definedName name="ACFFCTermInterestTot">'Cash Flows'!$D$83</definedName>
    <definedName name="ACFGainBuildTot">'Cash Flows'!$D$238</definedName>
    <definedName name="ACFGainEquipInput">'Final Income and Cash Flows'!$D$27</definedName>
    <definedName name="ACFGainEquipTot">'Cash Flows'!$D$235</definedName>
    <definedName name="ACFGainPurchLivestockTot">'Cash Flows'!$D$237</definedName>
    <definedName name="ACFGainVehTot">'Cash Flows'!$D$236</definedName>
    <definedName name="ACFGovPayInput">'Final Income and Cash Flows'!$D$24</definedName>
    <definedName name="ACFGovPayTot">'Cash Flows'!$D$15</definedName>
    <definedName name="ACFIncCustomWorkInput">'Final Income and Cash Flows'!$D$28</definedName>
    <definedName name="ACFIncCustomWorkTot">'Cash Flows'!$D$18</definedName>
    <definedName name="ACFINVChangeInput">'Final Income and Cash Flows'!$D$23</definedName>
    <definedName name="ACFINVChangeTot">'Cash Flows'!$D$240</definedName>
    <definedName name="ACFINVCropChangeTot">'Cash Flows'!$D$239</definedName>
    <definedName name="ACFLivestockBSValTot">'Cash Flows'!$D$233</definedName>
    <definedName name="ACFNewCredInput">'Final Income and Cash Flows'!$D$151</definedName>
    <definedName name="ACFNewCredTot">'Cash Flows'!$D$84</definedName>
    <definedName name="ACFNewOpInput">'Final Income and Cash Flows'!$D$152</definedName>
    <definedName name="ACFNewOpTot">'Cash Flows'!$D$213</definedName>
    <definedName name="ACFOpLoanBorrow">'Cash Flows'!$D$215</definedName>
    <definedName name="ACFOthIncomeInput">'Final Income and Cash Flows'!$D$29</definedName>
    <definedName name="ACFOthTot">'Cash Flows'!$D$19</definedName>
    <definedName name="ACFPatronageInput">'Final Income and Cash Flows'!$D$26</definedName>
    <definedName name="ACFPatronageTot">'Cash Flows'!$D$17</definedName>
    <definedName name="ACFPChildCareInput">'Final Income and Cash Flows'!$D$208</definedName>
    <definedName name="ACFPChildCareTot">'Cash Flows'!$D$170</definedName>
    <definedName name="ACFPChildSupInput">'Final Income and Cash Flows'!$D$209</definedName>
    <definedName name="ACFPChildSupTot">'Cash Flows'!$D$171</definedName>
    <definedName name="ACFPClothingInput">'Final Income and Cash Flows'!$D$206</definedName>
    <definedName name="ACFPClothingTot">'Cash Flows'!$D$168</definedName>
    <definedName name="ACFPDisInsInput">'Final Income and Cash Flows'!$D$203</definedName>
    <definedName name="ACFPDisInsTot">'Cash Flows'!$D$165</definedName>
    <definedName name="ACFPEducationInput">'Final Income and Cash Flows'!$D$210</definedName>
    <definedName name="ACFPEducationTot">'Cash Flows'!$D$172</definedName>
    <definedName name="ACFPFoodInput">'Final Income and Cash Flows'!$D$199</definedName>
    <definedName name="ACFPFoodTot">'Cash Flows'!$D$161</definedName>
    <definedName name="ACFPGiftsInput">'Final Income and Cash Flows'!$D$204</definedName>
    <definedName name="ACFPGiftsTot">'Cash Flows'!$D$166</definedName>
    <definedName name="ACFPIncInheritInput">'Final Income and Cash Flows'!$D$194</definedName>
    <definedName name="ACFPIncInheritTot">'Cash Flows'!$D$156</definedName>
    <definedName name="ACFPIncPersLoansInput">'Final Income and Cash Flows'!$D$220</definedName>
    <definedName name="ACFPIncPersLoansInputLoan">'Final Income and Cash Flows'!$D$193</definedName>
    <definedName name="ACFPIncPersLoansTot">'Cash Flows'!$D$182</definedName>
    <definedName name="ACFPIncPersLoansTotLoan">'Cash Flows'!$D$155</definedName>
    <definedName name="ACFPIncPersREEInput">'Final Income and Cash Flows'!$D$219</definedName>
    <definedName name="ACFPIncPersREEInputLoan">'Final Income and Cash Flows'!$D$192</definedName>
    <definedName name="aCFPIncPersREETot">'Cash Flows'!$D$181</definedName>
    <definedName name="ACFPIncPersREETotLoan">'Cash Flows'!$D$154</definedName>
    <definedName name="ACFPIncTaxInput">'Final Income and Cash Flows'!$D$218</definedName>
    <definedName name="ACFPIncTaxTot">'Cash Flows'!$D$180</definedName>
    <definedName name="ACFPInsInput">'Final Income and Cash Flows'!$D$201</definedName>
    <definedName name="ACFPInsTot">'Cash Flows'!$D$163</definedName>
    <definedName name="ACFPIntIncTot">'Cash Flows'!$D$152</definedName>
    <definedName name="ACFPIntInput">'Final Income and Cash Flows'!$D$190</definedName>
    <definedName name="ACFPInvestInput">'Final Income and Cash Flows'!$D$191</definedName>
    <definedName name="ACFPInvestTot">'Cash Flows'!$D$153</definedName>
    <definedName name="ACFPLifeInsInput">'Final Income and Cash Flows'!$D$202</definedName>
    <definedName name="ACFPLifeInsTot">'Cash Flows'!$D$164</definedName>
    <definedName name="ACFPLoanPayInput">'Final Income and Cash Flows'!$D$214</definedName>
    <definedName name="ACFPLoanPayTot">'Cash Flows'!$D$176</definedName>
    <definedName name="ACFPMedicalInput">'Final Income and Cash Flows'!$D$200</definedName>
    <definedName name="ACFPMedicalTot">'Cash Flows'!$D$162</definedName>
    <definedName name="ACFPMortInput">'Final Income and Cash Flows'!$D$215</definedName>
    <definedName name="ACFPMortTot">'Cash Flows'!$D$177</definedName>
    <definedName name="ACFPOthIncInput">'Final Income and Cash Flows'!$D$195</definedName>
    <definedName name="ACFPOthIncTot">'Cash Flows'!$D$157</definedName>
    <definedName name="ACFPOthPayInput">'Final Income and Cash Flows'!$D$225</definedName>
    <definedName name="ACFPOthPayTot">'Cash Flows'!$D$187</definedName>
    <definedName name="ACFPOthPurchInput">'Final Income and Cash Flows'!$D$224</definedName>
    <definedName name="ACFPOthPurchTot">'Cash Flows'!$D$186</definedName>
    <definedName name="ACFPPersCapPurchInput">'Final Income and Cash Flows'!$D$223</definedName>
    <definedName name="ACFPPersCapPurchTot">'Cash Flows'!$D$185</definedName>
    <definedName name="ACFPPersCareInput">'Final Income and Cash Flows'!$D$207</definedName>
    <definedName name="ACFPPersCareTot">'Cash Flows'!$D$169</definedName>
    <definedName name="ACFPPersRetirementInput">'Final Income and Cash Flows'!$D$221</definedName>
    <definedName name="ACFPPersRetirementTot">'Cash Flows'!$D$183</definedName>
    <definedName name="ACFPPersVehPurchInput">'Final Income and Cash Flows'!$D$222</definedName>
    <definedName name="ACFPPersVehPurchTot">'Cash Flows'!$D$184</definedName>
    <definedName name="ACFPPropInsInput">'Final Income and Cash Flows'!$D$216</definedName>
    <definedName name="ACFPPropInsTot">'Cash Flows'!$D$178</definedName>
    <definedName name="ACFPRecInput">'Final Income and Cash Flows'!$D$211</definedName>
    <definedName name="ACFPRecTot">'Cash Flows'!$D$173</definedName>
    <definedName name="ACFPRETaxesInput">'Final Income and Cash Flows'!$D$217</definedName>
    <definedName name="ACFPRETaxesTot">'Cash Flows'!$D$179</definedName>
    <definedName name="ACFPrinInput">'Final Income and Cash Flows'!$D$150</definedName>
    <definedName name="ACFPrinOpTot">'Cash Flows'!$D$217</definedName>
    <definedName name="ACFPrinTot">'Cash Flows'!$D$82</definedName>
    <definedName name="ACFPSupInput">'Final Income and Cash Flows'!$D$205</definedName>
    <definedName name="ACFPSupTot">'Cash Flows'!$D$167</definedName>
    <definedName name="ACFPUtilInput">'Final Income and Cash Flows'!$D$212</definedName>
    <definedName name="ACFPUtilTot">'Cash Flows'!$D$174</definedName>
    <definedName name="ACFPVehInput">'Final Income and Cash Flows'!$D$213</definedName>
    <definedName name="ACFPVehTot">'Cash Flows'!$D$175</definedName>
    <definedName name="ACFPWagesInput">'Final Income and Cash Flows'!$D$189</definedName>
    <definedName name="ACFPWagesTot">'Cash Flows'!$D$151</definedName>
    <definedName name="ACFSalesBuildInput">'Final Income and Cash Flows'!$D$156</definedName>
    <definedName name="ACFSalesBuildTot">'Cash Flows'!$D$70</definedName>
    <definedName name="ACFSalesCropsInput">'Final Income and Cash Flows'!$D$18</definedName>
    <definedName name="ACFSalesCropTot">'Cash Flows'!$D$10</definedName>
    <definedName name="ACFSalesEquipInput">'Final Income and Cash Flows'!$D$154</definedName>
    <definedName name="ACFSalesEquipTot">'Cash Flows'!$D$68</definedName>
    <definedName name="ACFSalesLandTot">'Cash Flows'!$D$76</definedName>
    <definedName name="ACFSalesLivestockInput">'Final Income and Cash Flows'!$D$20</definedName>
    <definedName name="ACFSalesLivestockProdInput">'Final Income and Cash Flows'!$D$21</definedName>
    <definedName name="ACFSalesLivestockProdTot">'Cash Flows'!$D$13</definedName>
    <definedName name="ACFSalesLivestockTot">'Cash Flows'!$D$12</definedName>
    <definedName name="ACFSalesLvskTot">'Cash Flows'!$D$72</definedName>
    <definedName name="ACFSalesVegFruitInput">'Final Income and Cash Flows'!$D$19</definedName>
    <definedName name="ACFSalesVegFruitTot">'Cash Flows'!$D$11</definedName>
    <definedName name="ACFSalesVehTot">'Cash Flows'!$D$74</definedName>
    <definedName name="ACFValueLaborTot">'Cash Flows'!$D$225</definedName>
    <definedName name="ACFVCChemInput">'Final Income and Cash Flows'!$D$35</definedName>
    <definedName name="ACFVCChemTot">'Cash Flows'!$D$26</definedName>
    <definedName name="ACFVCCropConsultInput">'Final Income and Cash Flows'!$D$42</definedName>
    <definedName name="ACFVCCropConsultTot">'Cash Flows'!$D$33</definedName>
    <definedName name="ACFVCCropInsInput">'Final Income and Cash Flows'!$D$36</definedName>
    <definedName name="ACFVCCropInsTot">'Cash Flows'!$D$27</definedName>
    <definedName name="ACFVCCropMarketingInput">'Final Income and Cash Flows'!$D$43</definedName>
    <definedName name="ACFVCCropMarketingTot">'Cash Flows'!$D$34</definedName>
    <definedName name="ACFVCCropSuppliesInput">'Final Income and Cash Flows'!$D$40</definedName>
    <definedName name="ACFVCCropSuppliesTot">'Cash Flows'!$D$31</definedName>
    <definedName name="ACFVCCustomHireInput">'Final Income and Cash Flows'!$D$56</definedName>
    <definedName name="ACFVCCustomHireTot">'Cash Flows'!$D$47</definedName>
    <definedName name="ACFVCDryingInput">'Final Income and Cash Flows'!$D$37</definedName>
    <definedName name="ACFVCDryingTot">'Cash Flows'!$D$28</definedName>
    <definedName name="ACFVCFeederLivestockInput">'Final Income and Cash Flows'!$D$44</definedName>
    <definedName name="ACFVCFeederLivestockTot">'Cash Flows'!$D$35</definedName>
    <definedName name="ACFVCFertilizerInput">'Final Income and Cash Flows'!$D$34</definedName>
    <definedName name="ACFVCFertilizerTot">'Cash Flows'!$D$25</definedName>
    <definedName name="ACFVCFuelInput">'Final Income and Cash Flows'!$D$53</definedName>
    <definedName name="ACFVCFuelTot">'Cash Flows'!$D$44</definedName>
    <definedName name="ACFVCGovProgInput">'Final Income and Cash Flows'!$D$50</definedName>
    <definedName name="ACFVCGovProgTot">'Cash Flows'!$D$41</definedName>
    <definedName name="ACFVCGrazingInput">'Final Income and Cash Flows'!$D$49</definedName>
    <definedName name="ACFVCGrazingTot">'Cash Flows'!$D$40</definedName>
    <definedName name="ACFVCGreenhouseSuppliesInput">'Final Income and Cash Flows'!$D$39</definedName>
    <definedName name="ACFVCGreenhouseSuppliesTot">'Cash Flows'!$D$30</definedName>
    <definedName name="ACFVCIrrigationInput">'Final Income and Cash Flows'!$D$41</definedName>
    <definedName name="ACFVCIrrigationTot">'Cash Flows'!$D$32</definedName>
    <definedName name="ACFVCLaborInput">'Final Income and Cash Flows'!$D$55</definedName>
    <definedName name="ACFVCLaborTot">'Cash Flows'!$D$46</definedName>
    <definedName name="ACFVCLivestockConsultInput" localSheetId="9">'Final Income and Cash Flows'!#REF!</definedName>
    <definedName name="ACFVCLivestockConsultInput">'Final Income and Cash Flows'!#REF!</definedName>
    <definedName name="ACFVCLivestockConsultTot">'Cash Flows'!$D$42</definedName>
    <definedName name="ACFVCLivestockInsuranceInput">'Final Income and Cash Flows'!$D$48</definedName>
    <definedName name="ACFVCLivestockInsuranceTot">'Cash Flows'!$D$39</definedName>
    <definedName name="ACFVCLivestockMarketingInput">'Final Income and Cash Flows'!$D$51</definedName>
    <definedName name="ACFVCLivestockMarketingTot">'Cash Flows'!$D$43</definedName>
    <definedName name="ACFVCLivestockSuppliesInput">'Final Income and Cash Flows'!$D$47</definedName>
    <definedName name="ACFVCLivestockSuppliesTot">'Cash Flows'!$D$38</definedName>
    <definedName name="ACFVCOthInput">'Final Income and Cash Flows'!$D$59</definedName>
    <definedName name="ACFVCOthTot">'Cash Flows'!$D$50</definedName>
    <definedName name="ACFVCPurchFeedInput">'Final Income and Cash Flows'!$D$45</definedName>
    <definedName name="ACFVCPurchFeedTot">'Cash Flows'!$D$36</definedName>
    <definedName name="ACFVCRepairsInput">'Final Income and Cash Flows'!$D$54</definedName>
    <definedName name="ACFVCRepairsTot">'Cash Flows'!$D$45</definedName>
    <definedName name="ACFVCSeedInput">'Final Income and Cash Flows'!$D$33</definedName>
    <definedName name="ACFVCSeedTot">'Cash Flows'!$D$24</definedName>
    <definedName name="ACFVCStorageInput">'Final Income and Cash Flows'!$D$38</definedName>
    <definedName name="ACFVCStorageTot">'Cash Flows'!$D$29</definedName>
    <definedName name="ACFVCTaxesInput">'Final Income and Cash Flows'!$D$58</definedName>
    <definedName name="ACFVCTaxesTot">'Cash Flows'!$D$49</definedName>
    <definedName name="ACFVCUtilInput">'Final Income and Cash Flows'!$D$57</definedName>
    <definedName name="ACFVCUtilTot">'Cash Flows'!$D$48</definedName>
    <definedName name="ACFVCVetInput">'Final Income and Cash Flows'!$D$46</definedName>
    <definedName name="ACFVCVetTot">'Cash Flows'!$D$37</definedName>
    <definedName name="Address">'Gen Info'!$K$6</definedName>
    <definedName name="AnnualIcon">Inputs!$D$25</definedName>
    <definedName name="BalanceSheet">'Final Balance Sheet'!$B$1:$G$64</definedName>
    <definedName name="Blank">Inputs!$A$1</definedName>
    <definedName name="BSBusLoans" localSheetId="14">#REF!</definedName>
    <definedName name="BSBusLoans" localSheetId="13">#REF!</definedName>
    <definedName name="BSBusLoans" localSheetId="9">#REF!</definedName>
    <definedName name="BSBusLoans">#REF!</definedName>
    <definedName name="BSCABusLoans" localSheetId="14">#REF!</definedName>
    <definedName name="BSCABusLoans" localSheetId="13">#REF!</definedName>
    <definedName name="BSCABusLoans" localSheetId="9">#REF!</definedName>
    <definedName name="BSCABusLoans">#REF!</definedName>
    <definedName name="BSCACash" localSheetId="14">#REF!</definedName>
    <definedName name="BSCACash" localSheetId="13">#REF!</definedName>
    <definedName name="BSCACash" localSheetId="9">#REF!</definedName>
    <definedName name="BSCACash">#REF!</definedName>
    <definedName name="BSCADueProc" localSheetId="14">#REF!</definedName>
    <definedName name="BSCADueProc" localSheetId="13">#REF!</definedName>
    <definedName name="BSCADueProc" localSheetId="9">#REF!</definedName>
    <definedName name="BSCADueProc">#REF!</definedName>
    <definedName name="BSCAOthBusAR" localSheetId="14">#REF!</definedName>
    <definedName name="BSCAOthBusAR" localSheetId="13">#REF!</definedName>
    <definedName name="BSCAOthBusAR" localSheetId="9">#REF!</definedName>
    <definedName name="BSCAOthBusAR">#REF!</definedName>
    <definedName name="BSCAOther" localSheetId="14">#REF!</definedName>
    <definedName name="BSCAOther" localSheetId="13">#REF!</definedName>
    <definedName name="BSCAOther" localSheetId="9">#REF!</definedName>
    <definedName name="BSCAOther">#REF!</definedName>
    <definedName name="BSCAPrepaid" localSheetId="14">#REF!</definedName>
    <definedName name="BSCAPrepaid" localSheetId="13">#REF!</definedName>
    <definedName name="BSCAPrepaid" localSheetId="9">#REF!</definedName>
    <definedName name="BSCAPrepaid">#REF!</definedName>
    <definedName name="BSCLAP" localSheetId="14">#REF!</definedName>
    <definedName name="BSCLAP" localSheetId="13">#REF!</definedName>
    <definedName name="BSCLAP" localSheetId="9">#REF!</definedName>
    <definedName name="BSCLAP">#REF!</definedName>
    <definedName name="BSCLCC" localSheetId="14">#REF!</definedName>
    <definedName name="BSCLCC" localSheetId="13">#REF!</definedName>
    <definedName name="BSCLCC" localSheetId="9">#REF!</definedName>
    <definedName name="BSCLCC">#REF!</definedName>
    <definedName name="BSCLCurrent" localSheetId="14">#REF!</definedName>
    <definedName name="BSCLCurrent" localSheetId="13">#REF!</definedName>
    <definedName name="BSCLCurrent" localSheetId="9">#REF!</definedName>
    <definedName name="BSCLCurrent">#REF!</definedName>
    <definedName name="BSCLCurrLT" localSheetId="14">#REF!</definedName>
    <definedName name="BSCLCurrLT" localSheetId="13">#REF!</definedName>
    <definedName name="BSCLCurrLT" localSheetId="9">#REF!</definedName>
    <definedName name="BSCLCurrLT">#REF!</definedName>
    <definedName name="BSCLOth" localSheetId="14">#REF!</definedName>
    <definedName name="BSCLOth" localSheetId="13">#REF!</definedName>
    <definedName name="BSCLOth" localSheetId="9">#REF!</definedName>
    <definedName name="BSCLOth">#REF!</definedName>
    <definedName name="BSCLTaxes" localSheetId="14">#REF!</definedName>
    <definedName name="BSCLTaxes" localSheetId="13">#REF!</definedName>
    <definedName name="BSCLTaxes" localSheetId="9">#REF!</definedName>
    <definedName name="BSCLTaxes">#REF!</definedName>
    <definedName name="BSNCCapConst" localSheetId="14">#REF!</definedName>
    <definedName name="BSNCCapConst" localSheetId="13">#REF!</definedName>
    <definedName name="BSNCCapConst" localSheetId="9">#REF!</definedName>
    <definedName name="BSNCCapConst">#REF!</definedName>
    <definedName name="BSNCOth" localSheetId="14">#REF!</definedName>
    <definedName name="BSNCOth" localSheetId="13">#REF!</definedName>
    <definedName name="BSNCOth" localSheetId="9">#REF!</definedName>
    <definedName name="BSNCOth">#REF!</definedName>
    <definedName name="BSNCOthFishEquip" localSheetId="14">#REF!</definedName>
    <definedName name="BSNCOthFishEquip" localSheetId="13">#REF!</definedName>
    <definedName name="BSNCOthFishEquip" localSheetId="9">#REF!</definedName>
    <definedName name="BSNCOthFishEquip">#REF!</definedName>
    <definedName name="BSNCPermits" localSheetId="14">#REF!</definedName>
    <definedName name="BSNCPermits" localSheetId="13">#REF!</definedName>
    <definedName name="BSNCPermits" localSheetId="9">#REF!</definedName>
    <definedName name="BSNCPermits">#REF!</definedName>
    <definedName name="BSNCRE" localSheetId="14">#REF!</definedName>
    <definedName name="BSNCRE" localSheetId="13">#REF!</definedName>
    <definedName name="BSNCRE" localSheetId="9">#REF!</definedName>
    <definedName name="BSNCRE">#REF!</definedName>
    <definedName name="BSNCVehicles" localSheetId="14">#REF!</definedName>
    <definedName name="BSNCVehicles" localSheetId="13">#REF!</definedName>
    <definedName name="BSNCVehicles" localSheetId="9">#REF!</definedName>
    <definedName name="BSNCVehicles">#REF!</definedName>
    <definedName name="BSNCVessel" localSheetId="14">#REF!</definedName>
    <definedName name="BSNCVessel" localSheetId="13">#REF!</definedName>
    <definedName name="BSNCVessel" localSheetId="9">#REF!</definedName>
    <definedName name="BSNCVessel">#REF!</definedName>
    <definedName name="BSNLBVeh" localSheetId="14">#REF!</definedName>
    <definedName name="BSNLBVeh" localSheetId="13">#REF!</definedName>
    <definedName name="BSNLBVeh" localSheetId="9">#REF!</definedName>
    <definedName name="BSNLBVeh">#REF!</definedName>
    <definedName name="BSNLOth" localSheetId="14">#REF!</definedName>
    <definedName name="BSNLOth" localSheetId="13">#REF!</definedName>
    <definedName name="BSNLOth" localSheetId="9">#REF!</definedName>
    <definedName name="BSNLOth">#REF!</definedName>
    <definedName name="BSNLPermit" localSheetId="14">#REF!</definedName>
    <definedName name="BSNLPermit" localSheetId="13">#REF!</definedName>
    <definedName name="BSNLPermit" localSheetId="9">#REF!</definedName>
    <definedName name="BSNLPermit">#REF!</definedName>
    <definedName name="BSNLRE" localSheetId="14">#REF!</definedName>
    <definedName name="BSNLRE" localSheetId="13">#REF!</definedName>
    <definedName name="BSNLRE" localSheetId="9">#REF!</definedName>
    <definedName name="BSNLRE">#REF!</definedName>
    <definedName name="BSNLVessel" localSheetId="14">#REF!</definedName>
    <definedName name="BSNLVessel" localSheetId="13">#REF!</definedName>
    <definedName name="BSNLVessel" localSheetId="9">#REF!</definedName>
    <definedName name="BSNLVessel">#REF!</definedName>
    <definedName name="BSPersCash" localSheetId="14">#REF!</definedName>
    <definedName name="BSPersCash" localSheetId="13">#REF!</definedName>
    <definedName name="BSPersCash" localSheetId="9">#REF!</definedName>
    <definedName name="BSPersCash">#REF!</definedName>
    <definedName name="BSPLAP" localSheetId="14">#REF!</definedName>
    <definedName name="BSPLAP" localSheetId="13">#REF!</definedName>
    <definedName name="BSPLAP" localSheetId="9">#REF!</definedName>
    <definedName name="BSPLAP">#REF!</definedName>
    <definedName name="BSPLCC" localSheetId="14">#REF!</definedName>
    <definedName name="BSPLCC" localSheetId="13">#REF!</definedName>
    <definedName name="BSPLCC" localSheetId="9">#REF!</definedName>
    <definedName name="BSPLCC">#REF!</definedName>
    <definedName name="BSPLife" localSheetId="14">#REF!</definedName>
    <definedName name="BSPLife" localSheetId="13">#REF!</definedName>
    <definedName name="BSPLife" localSheetId="9">#REF!</definedName>
    <definedName name="BSPLife">#REF!</definedName>
    <definedName name="BSPLLoans" localSheetId="14">#REF!</definedName>
    <definedName name="BSPLLoans" localSheetId="13">#REF!</definedName>
    <definedName name="BSPLLoans" localSheetId="9">#REF!</definedName>
    <definedName name="BSPLLoans">#REF!</definedName>
    <definedName name="BSPLOth" localSheetId="14">#REF!</definedName>
    <definedName name="BSPLOth" localSheetId="13">#REF!</definedName>
    <definedName name="BSPLOth" localSheetId="9">#REF!</definedName>
    <definedName name="BSPLOth">#REF!</definedName>
    <definedName name="BSPLR" localSheetId="14">#REF!</definedName>
    <definedName name="BSPLR" localSheetId="13">#REF!</definedName>
    <definedName name="BSPLR" localSheetId="9">#REF!</definedName>
    <definedName name="BSPLR">#REF!</definedName>
    <definedName name="BSPLRE" localSheetId="14">#REF!</definedName>
    <definedName name="BSPLRE" localSheetId="13">#REF!</definedName>
    <definedName name="BSPLRE" localSheetId="9">#REF!</definedName>
    <definedName name="BSPLRE">#REF!</definedName>
    <definedName name="BSPLTaxes" localSheetId="14">#REF!</definedName>
    <definedName name="BSPLTaxes" localSheetId="13">#REF!</definedName>
    <definedName name="BSPLTaxes" localSheetId="9">#REF!</definedName>
    <definedName name="BSPLTaxes">#REF!</definedName>
    <definedName name="BSPOth" localSheetId="14">#REF!</definedName>
    <definedName name="BSPOth" localSheetId="13">#REF!</definedName>
    <definedName name="BSPOth" localSheetId="9">#REF!</definedName>
    <definedName name="BSPOth">#REF!</definedName>
    <definedName name="BSPProp" localSheetId="14">#REF!</definedName>
    <definedName name="BSPProp" localSheetId="13">#REF!</definedName>
    <definedName name="BSPProp" localSheetId="9">#REF!</definedName>
    <definedName name="BSPProp">#REF!</definedName>
    <definedName name="BSPRE" localSheetId="14">#REF!</definedName>
    <definedName name="BSPRE" localSheetId="13">#REF!</definedName>
    <definedName name="BSPRE" localSheetId="9">#REF!</definedName>
    <definedName name="BSPRE">#REF!</definedName>
    <definedName name="BSPRetire" localSheetId="14">#REF!</definedName>
    <definedName name="BSPRetire" localSheetId="13">#REF!</definedName>
    <definedName name="BSPRetire" localSheetId="9">#REF!</definedName>
    <definedName name="BSPRetire">#REF!</definedName>
    <definedName name="BSPStocks" localSheetId="14">#REF!</definedName>
    <definedName name="BSPStocks" localSheetId="13">#REF!</definedName>
    <definedName name="BSPStocks" localSheetId="9">#REF!</definedName>
    <definedName name="BSPStocks">#REF!</definedName>
    <definedName name="BSPVeh" localSheetId="14">#REF!</definedName>
    <definedName name="BSPVeh" localSheetId="13">#REF!</definedName>
    <definedName name="BSPVeh" localSheetId="9">#REF!</definedName>
    <definedName name="BSPVeh">#REF!</definedName>
    <definedName name="BusName">'Gen Info'!$K$5</definedName>
    <definedName name="CABusLoanEntry">'Asset Entry'!$A$29</definedName>
    <definedName name="CABusLoansRecTot">'Asset Entry'!$B$33</definedName>
    <definedName name="CACashEntry">'Asset Entry'!$A$8</definedName>
    <definedName name="CACashTot">'Asset Entry'!$B$12</definedName>
    <definedName name="CADueEntry">'Asset Entry'!$A$15</definedName>
    <definedName name="CADueProcTot">'Asset Entry'!$B$19</definedName>
    <definedName name="CAOthAREntry">'Asset Entry'!$A$22</definedName>
    <definedName name="CAOtherEntry">'Asset Entry'!$A$43</definedName>
    <definedName name="CAOtherTot">'Asset Entry'!$B$47</definedName>
    <definedName name="CAOthRecTot">'Asset Entry'!$B$26</definedName>
    <definedName name="CAPrepaidEntry">'Asset Entry'!$A$36</definedName>
    <definedName name="CAPrepaids">'Asset Entry'!$A$35:$B$39</definedName>
    <definedName name="CAPrepaidTot">'Asset Entry'!$B$40</definedName>
    <definedName name="CashChoice" localSheetId="14">#REF!</definedName>
    <definedName name="CashChoice" localSheetId="13">#REF!</definedName>
    <definedName name="CashChoice" localSheetId="9">#REF!</definedName>
    <definedName name="CashChoice">#REF!</definedName>
    <definedName name="CashDetail">'Asset Entry'!$B$12</definedName>
    <definedName name="CashLink" localSheetId="14">INDIRECT(#REF!)</definedName>
    <definedName name="CashLink" localSheetId="13">INDIRECT(#REF!)</definedName>
    <definedName name="CashLink" localSheetId="9">INDIRECT(#REF!)</definedName>
    <definedName name="CashLink">INDIRECT(#REF!)</definedName>
    <definedName name="CashLinkChoice">INDIRECT('Gen Info'!$K$20)</definedName>
    <definedName name="City">'Gen Info'!$K$7</definedName>
    <definedName name="CLAPEntry">'Liability Entry'!$A$8</definedName>
    <definedName name="CLAPTot">'Liability Entry'!$B$12</definedName>
    <definedName name="CLBizAcrIntEntry">'Liability Entry'!$A$22</definedName>
    <definedName name="CLBizAcrIntTot">'Liability Entry'!$B$26</definedName>
    <definedName name="CLBizCCEntry">'Liability Entry'!$A$15</definedName>
    <definedName name="CLBizCCTot">'Liability Entry'!$B$19</definedName>
    <definedName name="CLOthCurEntry">'Liability Entry'!$A$36</definedName>
    <definedName name="CLOthCurTot">'Liability Entry'!$B$40</definedName>
    <definedName name="CLTaxesEntry">'Liability Entry'!$A$29</definedName>
    <definedName name="CLTaxesTot">'Liability Entry'!$B$33</definedName>
    <definedName name="_xlnm.Criteria" localSheetId="15">'Final Income and Cash Flows'!$F$82</definedName>
    <definedName name="CumulativeCashApr">'Cash Flows'!$I$199</definedName>
    <definedName name="CumulativeCashAug">'Cash Flows'!$M$199</definedName>
    <definedName name="CumulativeCashDec">'Cash Flows'!$Q$199</definedName>
    <definedName name="CumulativeCashFeb">'Cash Flows'!$G$199</definedName>
    <definedName name="CumulativeCashJan">'Cash Flows'!$F$199</definedName>
    <definedName name="CumulativeCashJuly">'Cash Flows'!$L$199</definedName>
    <definedName name="CumulativeCashJune">'Cash Flows'!$K$199</definedName>
    <definedName name="CumulativeCashMar">'Cash Flows'!$H$199</definedName>
    <definedName name="CumulativeCashMay">'Cash Flows'!$J$199</definedName>
    <definedName name="CumulativeCashNov">'Cash Flows'!$P$199</definedName>
    <definedName name="CumulativeCashOct">'Cash Flows'!$O$199</definedName>
    <definedName name="CumulativeCashSept">'Cash Flows'!$N$199</definedName>
    <definedName name="CurAssetsDet">'Asset Entry'!$A$7:$B$11</definedName>
    <definedName name="CurPortLT">'Loan Entry'!$AD$1</definedName>
    <definedName name="CurPortLTProjected">'Loan Entry'!$AH$1</definedName>
    <definedName name="CurrentAssetsDetail">'Asset Entry'!$A$5:$B$47</definedName>
    <definedName name="DashboardChoiceExpGraphChoice">Inputs!$E$54</definedName>
    <definedName name="DashboardChoiceIncExpGraph">Inputs!$E$52</definedName>
    <definedName name="DashboardChoiceIncExpGraphChoice">Inputs!$E$53</definedName>
    <definedName name="DMNetIncome">'Final Income and Cash Flows'!$E$126:$F$126</definedName>
    <definedName name="EndCashIncomeStatement">'Cash Flows'!$D$221</definedName>
    <definedName name="EndingCash">'Cash Flows'!$E$221</definedName>
    <definedName name="EndingCashApril">'Cash Flows'!$I$221</definedName>
    <definedName name="EndingCashAug">'Cash Flows'!$M$221</definedName>
    <definedName name="EndingCashDec">'Cash Flows'!$Q$221</definedName>
    <definedName name="EndingCashFeb">'Cash Flows'!$G$221</definedName>
    <definedName name="EndingCashJan">'Cash Flows'!$F$221</definedName>
    <definedName name="EndingCashJuly">'Cash Flows'!$L$221</definedName>
    <definedName name="EndingCashJune">'Cash Flows'!$K$221</definedName>
    <definedName name="EndingCashMarch">'Cash Flows'!$H$221</definedName>
    <definedName name="EndingCashMay">'Cash Flows'!$J$221</definedName>
    <definedName name="EndingCashNov">'Cash Flows'!$P$221</definedName>
    <definedName name="EndingCashOct">'Cash Flows'!$O$221</definedName>
    <definedName name="EndingCashSept">'Cash Flows'!$N$221</definedName>
    <definedName name="FishingNetIncome">'Final Income and Cash Flows'!$E$79:$F$79</definedName>
    <definedName name="GenDate">'Gen Info'!$K$2</definedName>
    <definedName name="GenInfoBSDate">'Gen Info'!$K$11</definedName>
    <definedName name="Header_Row" localSheetId="14">ROW(#REF!)</definedName>
    <definedName name="Header_Row" localSheetId="13">ROW(#REF!)</definedName>
    <definedName name="Header_Row" localSheetId="9">ROW(#REF!)</definedName>
    <definedName name="Header_Row">ROW(#REF!)</definedName>
    <definedName name="HowSell">'Gen Info'!$K$17</definedName>
    <definedName name="HowSellText">Inputs!$A$18:$A$20</definedName>
    <definedName name="InvCropsEntry">Inventory!$E$15</definedName>
    <definedName name="InvLivestockEntry">Inventory!$E$26</definedName>
    <definedName name="InvOtherEntry">Inventory!$D$37</definedName>
    <definedName name="InvProjCropsEntry" localSheetId="14">'Projected Inventory'!$D$13</definedName>
    <definedName name="InvProjCropsEntryProj">'Projected Inventory'!$D$13</definedName>
    <definedName name="InvProjLivestockEntry" localSheetId="14">'Projected Inventory'!$E$24</definedName>
    <definedName name="InvProjLivestockEntryProj">'Projected Inventory'!$E$24</definedName>
    <definedName name="InvProjOthEntryProj">'Projected Inventory'!$D$35</definedName>
    <definedName name="InvProjOtherEntry" localSheetId="14">'Projected Inventory'!$D$35</definedName>
    <definedName name="InvTCropsEntry">Inventory!$A$8</definedName>
    <definedName name="InvTLivestockEntry">Inventory!$A$19</definedName>
    <definedName name="InvTOtherEntry">Inventory!$A$30</definedName>
    <definedName name="InvTProjCropsEntry" localSheetId="14">'Projected Inventory'!$A$6</definedName>
    <definedName name="InvTProjLivestockEntry" localSheetId="14">'Projected Inventory'!$A$17</definedName>
    <definedName name="InvTProjOtherEntry" localSheetId="14">'Projected Inventory'!$A$28</definedName>
    <definedName name="Last_Row" localSheetId="14">IF('Projected Inventory'!Values_Entered,'Projected Inventory'!Header_Row+'Projected Inventory'!Number_of_Payments,'Projected Inventory'!Header_Row)</definedName>
    <definedName name="Last_Row" localSheetId="13">IF(ProposedLoansWkst!Values_Entered,ProposedLoansWkst!Header_Row+ProposedLoansWkst!Number_of_Payments,ProposedLoansWkst!Header_Row)</definedName>
    <definedName name="Last_Row" localSheetId="9">IF('Schedule F Cash to Accrual'!Values_Entered,'Schedule F Cash to Accrual'!Header_Row+'Schedule F Cash to Accrual'!Number_of_Payments,'Schedule F Cash to Accrual'!Header_Row)</definedName>
    <definedName name="Last_Row">IF(Values_Entered,Header_Row+Number_of_Payments,Header_Row)</definedName>
    <definedName name="LoanAccrInt">'Loan Entry'!$Z$3</definedName>
    <definedName name="LoanAccrIntPers">'Loan Entry'!$Z$76</definedName>
    <definedName name="LoanAccrIntProj">'Loan Entry'!$AA$3</definedName>
    <definedName name="LoanAccrIntProjPers">'Loan Entry'!$AA$76</definedName>
    <definedName name="LoanBuildEntry">'Loan Entry'!$AE$51</definedName>
    <definedName name="LoanBuildEntryProjected">'Loan Entry'!$AI$51</definedName>
    <definedName name="LoanBVehEntry">'Loan Entry'!$AE$35</definedName>
    <definedName name="LoanBVehEntryProjected">'Loan Entry'!$AI$35</definedName>
    <definedName name="LoanCurrent">'Loan Entry'!$F$11</definedName>
    <definedName name="LoanEquipmentEntry">'Loan Entry'!$AE$19</definedName>
    <definedName name="LoanEquipmentEntryProjected">'Loan Entry'!$AI$19</definedName>
    <definedName name="LoanFreq">Inputs!$A$4:$A$7</definedName>
    <definedName name="LoanLivestockEntry">'Loan Entry'!$AE$27</definedName>
    <definedName name="LoanLivestockEntryProjected">'Loan Entry'!$AI$27</definedName>
    <definedName name="LoanOthBizEntry">'Loan Entry'!$AE$43</definedName>
    <definedName name="LoanOthBizEntryProjected">'Loan Entry'!$AI$43</definedName>
    <definedName name="LoanPersEntry">'Loan Entry'!$AE$67</definedName>
    <definedName name="LoanPersEntryCurrent">'Loan Entry'!$AD$67</definedName>
    <definedName name="LoanPersEntryCurrentProjected">'Loan Entry'!$AH$67</definedName>
    <definedName name="LoanPersEntryProjected">'Loan Entry'!$AI$67</definedName>
    <definedName name="LoanPersREEntry">'Loan Entry'!$AE$75</definedName>
    <definedName name="LoanPersREEntryCurrent">'Loan Entry'!$AD$75</definedName>
    <definedName name="LoanPersREEntryCurrentProjected">'Loan Entry'!$AH$75</definedName>
    <definedName name="LoanPersREEntryProjected">'Loan Entry'!$AI$75</definedName>
    <definedName name="LoanProjSumAgBusAccrInt">ProposedLoans!$AJ$21</definedName>
    <definedName name="LoanProjSumAgBusCurr">ProposedLoans!$AG$21</definedName>
    <definedName name="LoanProjSumAgBusPayment">ProposedLoans!$AI$21</definedName>
    <definedName name="LoanProjSumAgBusRem">ProposedLoans!$AH$21</definedName>
    <definedName name="LoanProjSumDMBusAccrInt">ProposedLoans!$AJ$22</definedName>
    <definedName name="LoanProjSumDMBusCurr">ProposedLoans!$AG$22</definedName>
    <definedName name="LoanProjSumDMBusPayment">ProposedLoans!$AI$22</definedName>
    <definedName name="LoanProjSumDMBusRem">ProposedLoans!$AH$22</definedName>
    <definedName name="LoanProjSumDMOpAccrInt">ProposedLoans!$AJ$23</definedName>
    <definedName name="LoanProjSumDMOpCurr">ProposedLoans!$AG$23</definedName>
    <definedName name="LoanProjSumDMOpPayment">ProposedLoans!$AI$23</definedName>
    <definedName name="LoanProjSumDMOpRem">ProposedLoans!$AH$23</definedName>
    <definedName name="LoanProjSumOpAgAccrInt">ProposedLoans!$AJ$20</definedName>
    <definedName name="LoanProjSumOpAgCurr">ProposedLoans!$AG$20</definedName>
    <definedName name="LoanProjSumOpAgPayment">ProposedLoans!$AI$20</definedName>
    <definedName name="LoanProjSumOpAgRem">ProposedLoans!$AH$20</definedName>
    <definedName name="LoanProjSumPersAccrInt">ProposedLoans!$AJ$24</definedName>
    <definedName name="LoanProjSumPersCurr">ProposedLoans!$AG$24</definedName>
    <definedName name="LoanProjSumPersPayment">ProposedLoans!$AI$24</definedName>
    <definedName name="LoanProjSumPersREAccrInt">ProposedLoans!$AJ$25</definedName>
    <definedName name="LoanProjSumPersRECurr">ProposedLoans!$AG$25</definedName>
    <definedName name="LoanProjSumPersRem">ProposedLoans!$AH$24</definedName>
    <definedName name="LoanProjSumPersREPayment">ProposedLoans!$AI$25</definedName>
    <definedName name="LoanProjSumPersRERem">ProposedLoans!$AH$25</definedName>
    <definedName name="LoanProposedEntry">ProposedLoans!$B$6</definedName>
    <definedName name="LoanREEntry">'Loan Entry'!$AE$59</definedName>
    <definedName name="LoanREEntryProjected">'Loan Entry'!$AI$59</definedName>
    <definedName name="LoanTBuildEntry">'Loan Entry'!$B$47</definedName>
    <definedName name="LoanTBVeh">'Loan Entry'!$B$31</definedName>
    <definedName name="LoanTCurrEntry">'Loan Entry'!$B$5:$B$10</definedName>
    <definedName name="LoanTEquipEntry">'Loan Entry'!$B$15:$B$18</definedName>
    <definedName name="LoanTEquipment">'Loan Entry'!$B$15:$B$18</definedName>
    <definedName name="LoanTEquipmentEntry">'Loan Entry'!$B$15</definedName>
    <definedName name="LoanTLivestockEntry">'Loan Entry'!$B$23</definedName>
    <definedName name="LoanTOthBiz">'Loan Entry'!$B$39</definedName>
    <definedName name="LoanTPerREEntry">'Loan Entry'!$B$71</definedName>
    <definedName name="LoanTPersEntry">'Loan Entry'!$B$63</definedName>
    <definedName name="LoanTREEntry">'Loan Entry'!$B$55</definedName>
    <definedName name="MCFBegLoanBalInput">'Cash Flows'!$F$212</definedName>
    <definedName name="MCFBegLoanBalTot">'Cash Flows'!$E$212</definedName>
    <definedName name="MCFBuildBSValInput">'Cash Flows'!$F$234</definedName>
    <definedName name="MCFBuildBSValTot">'Cash Flows'!$E$234</definedName>
    <definedName name="MCFCapPurchBuildingsInput">'Cash Flows'!$F$71</definedName>
    <definedName name="MCFCapPurchBuildingsTot">'Cash Flows'!$E$71</definedName>
    <definedName name="MCFCapPurchEquipInput">'Cash Flows'!$F$69</definedName>
    <definedName name="MCFCapPurchEquipTot">'Cash Flows'!$E$69</definedName>
    <definedName name="MCFCapPurchLandInput">'Cash Flows'!$F$77</definedName>
    <definedName name="MCFCapPurchLandTot">'Cash Flows'!$E$77</definedName>
    <definedName name="MCFCapPurchLivestockInput">'Cash Flows'!$F$73</definedName>
    <definedName name="MCFCapPurchLivestockTot">'Cash Flows'!$E$73</definedName>
    <definedName name="MCFCapPurchVehInput">'Cash Flows'!$F$75</definedName>
    <definedName name="MCFCapPurchVehTot">'Cash Flows'!$E$75</definedName>
    <definedName name="MCFCropInsIncInput">'Cash Flows'!$F$16</definedName>
    <definedName name="MCFCropInsIncTot">'Cash Flows'!$E$16</definedName>
    <definedName name="MCFCullIncomeInput">'Cash Flows'!$F$14</definedName>
    <definedName name="MCFCullIncomeTot">'Cash Flows'!$E$14</definedName>
    <definedName name="MCFDMCapPurchInput">'Cash Flows'!$F$132</definedName>
    <definedName name="MCFDMCapPurchTot">'Cash Flows'!$E$132</definedName>
    <definedName name="MCFDMEquipBSValInput">'Cash Flows'!$F$249</definedName>
    <definedName name="MCFDMEquipBSValTot">'Cash Flows'!$E$249</definedName>
    <definedName name="MCFDMEquipGainInput">'Cash Flows'!$F$250</definedName>
    <definedName name="MCFDMEquipGainTot">'Cash Flows'!$E$250</definedName>
    <definedName name="MCFDMEquipSaleInput">'Cash Flows'!$F$131</definedName>
    <definedName name="MCFDMEquipSaleTot">'Cash Flows'!$E$131</definedName>
    <definedName name="MCFDMEtcInput">'Cash Flows'!$F$101</definedName>
    <definedName name="MCFDMEtcTot">'Cash Flows'!$E$101</definedName>
    <definedName name="MCFDMFCDeprInput">'Cash Flows'!$F$248</definedName>
    <definedName name="MCFDMFCDeprTot">'Cash Flows'!$E$248</definedName>
    <definedName name="MCFDMFCIntInput">'Cash Flows'!$F$138</definedName>
    <definedName name="MCFDMFCIntTot">'Cash Flows'!$E$138</definedName>
    <definedName name="MCFDMFCMiscInput">'Cash Flows'!$F$123</definedName>
    <definedName name="MCFDMFCMiscTot">'Cash Flows'!$E$123</definedName>
    <definedName name="MCFDMFCOthInput">'Cash Flows'!$F$124</definedName>
    <definedName name="MCFDMFCOthTot">'Cash Flows'!$E$124</definedName>
    <definedName name="MCFDMFCPermitsInput">'Cash Flows'!$F$121</definedName>
    <definedName name="MCFDMFCPermitTot">'Cash Flows'!$E$121</definedName>
    <definedName name="MCFDMFCPromoInput">'Cash Flows'!$F$120</definedName>
    <definedName name="MCFDMFCPromoTot">'Cash Flows'!$E$120</definedName>
    <definedName name="MCFDMFCRentInput">'Cash Flows'!$F$119</definedName>
    <definedName name="MCFDMFCRentTot">'Cash Flows'!$E$119</definedName>
    <definedName name="MCFDMFCVehInput">'Cash Flows'!$F$122</definedName>
    <definedName name="MCFDMFCVehTot">'Cash Flows'!$E$122</definedName>
    <definedName name="MCFDMINVChangeInput">'Cash Flows'!$F$247</definedName>
    <definedName name="MCFDMINVChangeTot">'Cash Flows'!$E$247</definedName>
    <definedName name="MCFDMNewCredInput">'Cash Flows'!$F$139</definedName>
    <definedName name="MCFDMNewCredTot">'Cash Flows'!$E$139</definedName>
    <definedName name="MCFDMNewDMOpInput">'Cash Flows'!$F$214</definedName>
    <definedName name="MCFDMNewDMOpTot">'Cash Flows'!$E$214</definedName>
    <definedName name="MCFDMOthInput">'Cash Flows'!$F$102</definedName>
    <definedName name="MCFDMOthTot">'Cash Flows'!$E$102</definedName>
    <definedName name="MCFDMPrinInput">'Cash Flows'!$F$137</definedName>
    <definedName name="MCFDMPrinOpInput">'Cash Flows'!#REF!</definedName>
    <definedName name="MCFDMPrinOpTot">'Cash Flows'!#REF!</definedName>
    <definedName name="MCFDMPrinTot">'Cash Flows'!$E$137</definedName>
    <definedName name="MCFDMSalesCSAInput">'Cash Flows'!$F$98</definedName>
    <definedName name="MCFDMSalesCSATot">'Cash Flows'!$E$98</definedName>
    <definedName name="MCFDMSalesFarmMktInput">'Cash Flows'!$F$97</definedName>
    <definedName name="MCFDMSalesFarmMktTot">'Cash Flows'!$E$97</definedName>
    <definedName name="MCFDMSalesFarmstandInput">'Cash Flows'!$F$99</definedName>
    <definedName name="MCFDMSalesFarmstandTot">'Cash Flows'!$E$99</definedName>
    <definedName name="MCFDMSalesOtherInput">'Cash Flows'!$F$100</definedName>
    <definedName name="MCFDMSalesOtherTot">'Cash Flows'!$E$100</definedName>
    <definedName name="MCFDMValueLaborInput">'Cash Flows'!$F$246</definedName>
    <definedName name="MCFDMValueLaborTot">'Cash Flows'!$E$246</definedName>
    <definedName name="MCFDMVCColdInput">'Cash Flows'!$F$113</definedName>
    <definedName name="MCFDMVCColdTot">'Cash Flows'!$E$113</definedName>
    <definedName name="MCFDMVCInsInput">'Cash Flows'!$F$107</definedName>
    <definedName name="MCFDMVCInsTot">'Cash Flows'!$E$107</definedName>
    <definedName name="MCFDMVCLaborInput">'Cash Flows'!$F$106</definedName>
    <definedName name="MCFDMVCLaborTot">'Cash Flows'!$E$106</definedName>
    <definedName name="MCFDMVCMktSuppInput">'Cash Flows'!$F$110</definedName>
    <definedName name="MCFDMVCMktSuppTot">'Cash Flows'!$E$110</definedName>
    <definedName name="MCFDMVCOthInput">'Cash Flows'!$F$115</definedName>
    <definedName name="MCFDMVCOthTot">'Cash Flows'!$E$115</definedName>
    <definedName name="MCFDMVCPackInput">'Cash Flows'!$F$108</definedName>
    <definedName name="MCFDMVCPackTot">'Cash Flows'!$E$108</definedName>
    <definedName name="MCFDMVCResaleInput">'Cash Flows'!$F$114</definedName>
    <definedName name="MCFDMVCResaleTot">'Cash Flows'!$E$114</definedName>
    <definedName name="MCFDMVCShippingInput">'Cash Flows'!$F$111</definedName>
    <definedName name="MCFDMVCShippingTot">'Cash Flows'!$E$111</definedName>
    <definedName name="MCFDMVCSuppliedInput">'Cash Flows'!$F$109</definedName>
    <definedName name="MCFDMVCSuppliesTot">'Cash Flows'!$E$109</definedName>
    <definedName name="MCFDMVCUtilInput">'Cash Flows'!$F$112</definedName>
    <definedName name="MCFDMVCUtilTot">'Cash Flows'!$E$112</definedName>
    <definedName name="MCFEndLoanBalInput">'Cash Flows'!$F$219</definedName>
    <definedName name="MCFEndLoanBalTot">'Cash Flows'!$E$219</definedName>
    <definedName name="MCFEquipBSValInput">'Cash Flows'!$F$231</definedName>
    <definedName name="MCFEquipBSValTot">'Cash Flows'!$E$231</definedName>
    <definedName name="MCFEquipBSVehInput">'Cash Flows'!$F$232</definedName>
    <definedName name="MCFEquipBSVehTot">'Cash Flows'!$E$232</definedName>
    <definedName name="MCFFCCarTruckInput">'Cash Flows'!$F$58</definedName>
    <definedName name="MCFFCCarTruckTot">'Cash Flows'!$E$58</definedName>
    <definedName name="MCFFCConservationInput">'Cash Flows'!$F$59</definedName>
    <definedName name="MCFFCConservationTot">'Cash Flows'!$E$59</definedName>
    <definedName name="MCFFCDeprBuildInput">'Cash Flows'!$F$229</definedName>
    <definedName name="MCFFCDeprBuildTot">'Cash Flows'!$E$229</definedName>
    <definedName name="MCFFCDeprEquipInput">'Cash Flows'!$F$227</definedName>
    <definedName name="MCFFCDeprEquipTot">'Cash Flows'!$E$227</definedName>
    <definedName name="MCFFCDeprLivestockInput">'Cash Flows'!$F$228</definedName>
    <definedName name="MCFFCDeprLivestockTot">'Cash Flows'!$E$228</definedName>
    <definedName name="MCFFCDeprVehInput">'Cash Flows'!$F$230</definedName>
    <definedName name="MCFFCDeprVehTot">'Cash Flows'!$E$230</definedName>
    <definedName name="MCFFCFarmInsInput">'Cash Flows'!$F$57</definedName>
    <definedName name="MCFFCFarmInsTot">'Cash Flows'!$E$57</definedName>
    <definedName name="MCFFCInterestInput">'Cash Flows'!$F$83</definedName>
    <definedName name="MCFFCInterestTot">'Final Income and Cash Flows'!$D$64</definedName>
    <definedName name="MCFFCLandRentInput">'Cash Flows'!$F$54</definedName>
    <definedName name="MCFFCLandRentTot">'Cash Flows'!$E$54</definedName>
    <definedName name="MCFFCMachLeaseInput">'Cash Flows'!$F$55</definedName>
    <definedName name="MCFFCMachLeaseTot">'Cash Flows'!$E$55</definedName>
    <definedName name="MCFFCOpLoanInterestInput">'Cash Flows'!$F$216</definedName>
    <definedName name="MCFFCOpLoanInterestTot">'Cash Flows'!$E$216</definedName>
    <definedName name="MCFFCOthInput">'Cash Flows'!$F$62</definedName>
    <definedName name="MCFFCOthTot">'Cash Flows'!$E$62</definedName>
    <definedName name="MCFFCPermitInput">'Cash Flows'!$F$56</definedName>
    <definedName name="MCFFCPermitTot">'Cash Flows'!$E$56</definedName>
    <definedName name="MCFFCProfInput">'Cash Flows'!$F$60</definedName>
    <definedName name="MCFFCProfTot">'Cash Flows'!$E$60</definedName>
    <definedName name="MCFFCPropTaxesInput">'Cash Flows'!$F$61</definedName>
    <definedName name="MCFFCPropTaxTot">'Cash Flows'!$E$61</definedName>
    <definedName name="MCFFCTermInterestInput">'Cash Flows'!#REF!</definedName>
    <definedName name="MCFFCTermInterestTot">'Cash Flows'!$E$83</definedName>
    <definedName name="MCFGainBuildInput">'Cash Flows'!$F$238</definedName>
    <definedName name="MCFGainBuildTot">'Cash Flows'!$E$238</definedName>
    <definedName name="MCFGainEquipInput">'Cash Flows'!$F$235</definedName>
    <definedName name="MCFGainEquipTot">'Cash Flows'!$E$235</definedName>
    <definedName name="MCFGainPurchLivestockInput">'Cash Flows'!$F$237</definedName>
    <definedName name="MCFGainPurchLivestockTot">'Cash Flows'!$E$237</definedName>
    <definedName name="MCFGainVehInput">'Cash Flows'!$F$236</definedName>
    <definedName name="MCFGainVehTot">'Cash Flows'!$E$236</definedName>
    <definedName name="MCFGovPayInput">'Cash Flows'!$F$15</definedName>
    <definedName name="MCFGovPayTot">'Cash Flows'!$E$15</definedName>
    <definedName name="MCFHedgingDepInput" localSheetId="9">'Cash Flows'!#REF!</definedName>
    <definedName name="MCFHedgingDepInput">'Cash Flows'!#REF!</definedName>
    <definedName name="MCFHedgingDepTot" localSheetId="9">'Cash Flows'!#REF!</definedName>
    <definedName name="MCFHedgingDepTot">'Cash Flows'!#REF!</definedName>
    <definedName name="MCFHedgingInput" localSheetId="9">'Cash Flows'!#REF!</definedName>
    <definedName name="MCFHedgingInput">'Cash Flows'!#REF!</definedName>
    <definedName name="MCFHedgingTot" localSheetId="9">'Cash Flows'!#REF!</definedName>
    <definedName name="MCFHedgingTot">'Cash Flows'!#REF!</definedName>
    <definedName name="MCFIncCustomWorkInput">'Cash Flows'!$F$18</definedName>
    <definedName name="MCFIncCustomWorkTot">'Cash Flows'!$E$18</definedName>
    <definedName name="MCFIntOpTot">'Cash Flows'!$E$216</definedName>
    <definedName name="MCFINVChangeInput">'Cash Flows'!$F$240</definedName>
    <definedName name="MCFINVChangeTot">'Cash Flows'!$E$240</definedName>
    <definedName name="MCFINVCropChangeInput">'Cash Flows'!$F$239</definedName>
    <definedName name="MCFINVCropChangeTot">'Cash Flows'!$E$239</definedName>
    <definedName name="MCFLivestockBSValInput">'Cash Flows'!$F$233</definedName>
    <definedName name="MCFLivestockBSValTot">'Cash Flows'!$E$233</definedName>
    <definedName name="MCFNewCredInput">'Cash Flows'!$F$84</definedName>
    <definedName name="MCFNewCredTot">'Cash Flows'!$E$84</definedName>
    <definedName name="MCFNewOpInput">'Cash Flows'!$F$213</definedName>
    <definedName name="MCFNewOpTot">'Cash Flows'!$E$213</definedName>
    <definedName name="MCFOpLoanBorrowInput">'Cash Flows'!$F$215</definedName>
    <definedName name="MCFOpLoanBorrowTot">'Cash Flows'!$E$215</definedName>
    <definedName name="MCFOthIncomeInput">'Cash Flows'!$F$19</definedName>
    <definedName name="MCFOthTot">'Cash Flows'!$E$19</definedName>
    <definedName name="MCFPatronageInput">'Cash Flows'!$F$17</definedName>
    <definedName name="MCFPatronageTot">'Cash Flows'!$E$17</definedName>
    <definedName name="MCFPChildCareInput">'Cash Flows'!$F$170</definedName>
    <definedName name="MCFPChildCareTot">'Cash Flows'!$E$170</definedName>
    <definedName name="MCFPChildSupportInput">'Cash Flows'!$F$171</definedName>
    <definedName name="MCFPChildSupTot">'Cash Flows'!$E$171</definedName>
    <definedName name="MCFPClothingInput">'Cash Flows'!$F$168</definedName>
    <definedName name="MCFPClothingTot">'Cash Flows'!$E$168</definedName>
    <definedName name="MCFPDisInsInput">'Cash Flows'!$F$165</definedName>
    <definedName name="MCFPDisInsTot">'Cash Flows'!$E$165</definedName>
    <definedName name="MCFPEducationInput">'Cash Flows'!$F$172</definedName>
    <definedName name="MCFPEducationTot">'Cash Flows'!$E$172</definedName>
    <definedName name="MCFPFoodInput">'Cash Flows'!$F$161</definedName>
    <definedName name="MCFPFoodTot">'Cash Flows'!$E$161</definedName>
    <definedName name="MCFPGiftsInput">'Cash Flows'!$F$166</definedName>
    <definedName name="MCFPGiftsTot">'Cash Flows'!$E$166</definedName>
    <definedName name="MCFPIncInheritInput">'Cash Flows'!$F$156</definedName>
    <definedName name="MCFPIncInheritTot">'Cash Flows'!$E$156</definedName>
    <definedName name="MCFPIncPersLoansInput">'Cash Flows'!$F$182</definedName>
    <definedName name="MCFPIncPersLoansInputLoan">'Cash Flows'!$F$155</definedName>
    <definedName name="MCFPIncPersLoansTot">'Cash Flows'!$E$182</definedName>
    <definedName name="MCFPIncPersLoansTotLoan">'Cash Flows'!$E$155</definedName>
    <definedName name="MCFPIncPersREEInput">'Cash Flows'!$F$181</definedName>
    <definedName name="MCFPIncPersREEInputLoan">'Cash Flows'!$F$154</definedName>
    <definedName name="MCFPIncPersREETot">'Cash Flows'!$E$181</definedName>
    <definedName name="MCFPIncPersREETotLoan">'Cash Flows'!$E$154</definedName>
    <definedName name="MCFPIncTaxInput">'Cash Flows'!$F$180</definedName>
    <definedName name="MCFPIncTaxTot">'Cash Flows'!$E$180</definedName>
    <definedName name="MCFPInsInput">'Cash Flows'!$F$163</definedName>
    <definedName name="MCFPInsTot">'Cash Flows'!$E$163</definedName>
    <definedName name="MCFPIntIncInput">'Cash Flows'!$F$152</definedName>
    <definedName name="MCFPIntIncTot">'Cash Flows'!$E$152</definedName>
    <definedName name="MCFPInvestInput">'Cash Flows'!$F$153</definedName>
    <definedName name="MCFPInvestTot">'Cash Flows'!$E$153</definedName>
    <definedName name="MCFPLifeInsInput">'Cash Flows'!$F$164</definedName>
    <definedName name="MCFPLifeInsTot">'Cash Flows'!$E$164</definedName>
    <definedName name="MCFPLoanPayInput">'Cash Flows'!$F$176</definedName>
    <definedName name="MCFPLoanPayTot">'Cash Flows'!$E$176</definedName>
    <definedName name="MCFPMedicalInput">'Cash Flows'!$F$162</definedName>
    <definedName name="MCFPMedicalTot">'Cash Flows'!$E$162</definedName>
    <definedName name="MCFPMortInput">'Cash Flows'!$F$177</definedName>
    <definedName name="MCFPMortTot">'Cash Flows'!$E$177</definedName>
    <definedName name="MCFPOthIncTot">'Cash Flows'!$E$157</definedName>
    <definedName name="MCFPOthInput">'Cash Flows'!$F$157</definedName>
    <definedName name="MCFPOthPayInput">'Cash Flows'!$F$187</definedName>
    <definedName name="MCFPOthPayTot">'Cash Flows'!$E$187</definedName>
    <definedName name="MCFPOthPurchInput">'Cash Flows'!$F$186</definedName>
    <definedName name="MCFPOthPurchTot">'Cash Flows'!$E$186</definedName>
    <definedName name="MCFPPersCapPurchInput">'Cash Flows'!$F$185</definedName>
    <definedName name="MCFPPersCapPurchTot">'Cash Flows'!$E$185</definedName>
    <definedName name="MCFPPersCareInput">'Cash Flows'!$F$169</definedName>
    <definedName name="MCFPPersCareTot">'Cash Flows'!$E$169</definedName>
    <definedName name="MCFPPersRetirementInput">'Cash Flows'!$F$183</definedName>
    <definedName name="MCFPPersRetirementTot">'Cash Flows'!$E$183</definedName>
    <definedName name="MCFPPersVehPurchInput">'Cash Flows'!$F$184</definedName>
    <definedName name="MCFPPersVehPurchTot">'Cash Flows'!$E$184</definedName>
    <definedName name="MCFPPropInsInput">'Cash Flows'!$F$178</definedName>
    <definedName name="MCFPPropInsTot">'Cash Flows'!$E$178</definedName>
    <definedName name="MCFPRecInput">'Cash Flows'!$F$173</definedName>
    <definedName name="MCFPRecTot">'Cash Flows'!$E$173</definedName>
    <definedName name="MCFPRETaxesInput">'Cash Flows'!$F$179</definedName>
    <definedName name="MCFPRETaxesTot">'Cash Flows'!$E$179</definedName>
    <definedName name="MCFPrinInput">'Cash Flows'!$F$82</definedName>
    <definedName name="MCFPrinOpInput">'Cash Flows'!#REF!</definedName>
    <definedName name="MCFPrinOpTot">'Cash Flows'!$E$217</definedName>
    <definedName name="MCFPrinTot">'Cash Flows'!$E$82</definedName>
    <definedName name="MCFPSupInput">'Cash Flows'!$F$167</definedName>
    <definedName name="MCFPSupTot">'Cash Flows'!$E$167</definedName>
    <definedName name="MCFPUtilInput">'Cash Flows'!$F$174</definedName>
    <definedName name="MCFPUtilTot">'Cash Flows'!$E$174</definedName>
    <definedName name="MCFPVehInput">'Cash Flows'!$F$175</definedName>
    <definedName name="MCFPVehTot">'Cash Flows'!$E$175</definedName>
    <definedName name="MCFPWageInput">'Cash Flows'!$F$151</definedName>
    <definedName name="MCFPWagesTot">'Cash Flows'!$E$151</definedName>
    <definedName name="MCFSalesBuildInput">'Cash Flows'!$F$70</definedName>
    <definedName name="MCFSalesBuildTot">'Cash Flows'!$E$70</definedName>
    <definedName name="MCFSalesCropsInput">'Cash Flows'!$F$10</definedName>
    <definedName name="MCFSalesCropTot">'Cash Flows'!$E$10</definedName>
    <definedName name="MCFSalesEquipInput">'Cash Flows'!$F$68</definedName>
    <definedName name="MCFSalesEquipTot">'Cash Flows'!$E$68</definedName>
    <definedName name="MCFSalesLandInput">'Cash Flows'!$F$76</definedName>
    <definedName name="MCFSalesLandTot">'Cash Flows'!$E$76</definedName>
    <definedName name="MCFSalesLivestockInput">'Cash Flows'!$F$12</definedName>
    <definedName name="MCFSalesLivestockProdInput">'Cash Flows'!$F$13</definedName>
    <definedName name="MCFSalesLivestockProdTot">'Cash Flows'!$E$13</definedName>
    <definedName name="MCFSalesLivestockTot">'Cash Flows'!$E$12</definedName>
    <definedName name="MCFSalesLvskInput">'Cash Flows'!$F$72</definedName>
    <definedName name="MCFSalesLvskTot">'Cash Flows'!$E$72</definedName>
    <definedName name="MCFSalesVegFruitInput">'Cash Flows'!$F$11</definedName>
    <definedName name="MCFSalesVegFruitTot">'Cash Flows'!$E$11</definedName>
    <definedName name="MCFSalesVehInput">'Cash Flows'!$F$74</definedName>
    <definedName name="MCFSalesVehTot">'Cash Flows'!$E$74</definedName>
    <definedName name="MCFValueLaborInput">'Cash Flows'!$F$225</definedName>
    <definedName name="MCFValueLaborTot">'Cash Flows'!$E$225</definedName>
    <definedName name="MCFVCChemInput">'Cash Flows'!$F$26</definedName>
    <definedName name="MCFVCChemTot">'Cash Flows'!$E$26</definedName>
    <definedName name="MCFVCCropConsultInput">'Cash Flows'!$F$33</definedName>
    <definedName name="MCFVCCropConsultTot">'Cash Flows'!$E$33</definedName>
    <definedName name="MCFVCCropInsInput">'Cash Flows'!$F$27</definedName>
    <definedName name="MCFVCCropInsTot">'Cash Flows'!$E$27</definedName>
    <definedName name="MCFVCCropMarketingInput">'Cash Flows'!$F$34</definedName>
    <definedName name="MCFVCCropMarketingTot">'Cash Flows'!$E$34</definedName>
    <definedName name="MCFVCCropSuppliesInput">'Cash Flows'!$F$31</definedName>
    <definedName name="MCFVCCropSuppliesTot">'Cash Flows'!$E$31</definedName>
    <definedName name="MCFVCCustomHireInput">'Cash Flows'!$F$47</definedName>
    <definedName name="MCFVCCustomHireTot">'Cash Flows'!$E$47</definedName>
    <definedName name="MCFVCDryingInput">'Cash Flows'!$F$28</definedName>
    <definedName name="MCFVCDryingTot">'Cash Flows'!$E$28</definedName>
    <definedName name="MCFVCFeederLivestockInput">'Cash Flows'!$F$35</definedName>
    <definedName name="MCFVCFeederLivestockTot">'Cash Flows'!$E$35</definedName>
    <definedName name="MCFVCFertilizerInput">'Cash Flows'!$F$25</definedName>
    <definedName name="MCFVCFertilizerTot">'Cash Flows'!$E$25</definedName>
    <definedName name="MCFVCFuelInput">'Cash Flows'!$F$44</definedName>
    <definedName name="MCFVCFuelTot">'Cash Flows'!$E$44</definedName>
    <definedName name="MCFVCGovProgInput">'Cash Flows'!$F$41</definedName>
    <definedName name="MCFVCGovProgTot">'Cash Flows'!$E$41</definedName>
    <definedName name="MCFVCGrazingInput">'Cash Flows'!$F$40</definedName>
    <definedName name="MCFVCGrazingTot">'Cash Flows'!$E$40</definedName>
    <definedName name="MCFVCGreenhouseSuppliesInput">'Cash Flows'!$F$30</definedName>
    <definedName name="MCFVCGreenhouseSuppliesTot">'Cash Flows'!$E$30</definedName>
    <definedName name="MCFVCIrrigationInput">'Cash Flows'!$F$32</definedName>
    <definedName name="MCFVCIrrigationTot">'Cash Flows'!$E$32</definedName>
    <definedName name="MCFVCLaborInput">'Cash Flows'!$F$46</definedName>
    <definedName name="MCFVCLaborTot">'Cash Flows'!$E$46</definedName>
    <definedName name="MCFVCLivestockConsultInput">'Cash Flows'!$F$42</definedName>
    <definedName name="MCFVCLivestockConsultTot">'Cash Flows'!$E$42</definedName>
    <definedName name="MCFVCLivestockInsuranceInput">'Cash Flows'!$F$39</definedName>
    <definedName name="MCFVCLivestockInsuranceTot">'Cash Flows'!$E$39</definedName>
    <definedName name="MCFVCLivestockMarketingInput">'Cash Flows'!$F$43</definedName>
    <definedName name="MCFVCLivestockMarketingTot">'Cash Flows'!$E$43</definedName>
    <definedName name="MCFVCLivestockSuppliesInput">'Cash Flows'!$F$38</definedName>
    <definedName name="MCFVCLivestockSuppliesTot">'Cash Flows'!$E$38</definedName>
    <definedName name="MCFVCOthInput">'Cash Flows'!$F$50</definedName>
    <definedName name="MCFVCOthTot">'Cash Flows'!$E$50</definedName>
    <definedName name="MCFVCPurchFeedInput">'Cash Flows'!$F$36</definedName>
    <definedName name="MCFVCPurchFeedTot">'Cash Flows'!$E$36</definedName>
    <definedName name="MCFVCRepairsInput">'Cash Flows'!$F$45</definedName>
    <definedName name="MCFVCRepairsTot">'Cash Flows'!$E$45</definedName>
    <definedName name="MCFVCSeedInput">'Cash Flows'!$F$24</definedName>
    <definedName name="MCFVCSeedTot">'Cash Flows'!$E$24</definedName>
    <definedName name="MCFVCStorageInput">'Cash Flows'!$F$29</definedName>
    <definedName name="MCFVCStorageTot">'Cash Flows'!$E$29</definedName>
    <definedName name="MCFVCTaxesInput">'Cash Flows'!$F$49</definedName>
    <definedName name="MCFVCTaxesTot">'Cash Flows'!$E$49</definedName>
    <definedName name="MCFVCUtilInput">'Cash Flows'!$F$48</definedName>
    <definedName name="MCFVCUtilTot">'Cash Flows'!$E$48</definedName>
    <definedName name="MCFVCVetInput">'Cash Flows'!$F$37</definedName>
    <definedName name="MCFVCVetTot">'Cash Flows'!$E$37</definedName>
    <definedName name="MonthlyIcon1">Inputs!$D$26</definedName>
    <definedName name="Months">Inputs!$C$4:$C$15</definedName>
    <definedName name="Name">'Gen Info'!$K$4</definedName>
    <definedName name="NCAssetsDetail">'Asset Entry'!$D$5:$E$61</definedName>
    <definedName name="NCBizVehEntry">'Asset Entry'!$D$29</definedName>
    <definedName name="NCBizVehTot">'Asset Entry'!$E$33</definedName>
    <definedName name="NCBreedLivestockEntry">'Asset Entry'!$D$15</definedName>
    <definedName name="NCBreedLivestockTot">'Asset Entry'!$E$19</definedName>
    <definedName name="NCBuildingsEntry">'Asset Entry'!$D$43</definedName>
    <definedName name="NCBuildingsTot">'Asset Entry'!$E$47</definedName>
    <definedName name="NCEquipmentEntry">'Asset Entry'!$D$8</definedName>
    <definedName name="NCEquipmentTot">'Asset Entry'!$E$12</definedName>
    <definedName name="NCLandEntry">'Asset Entry'!$D$36</definedName>
    <definedName name="NCLandTot">'Asset Entry'!$E$40</definedName>
    <definedName name="NCOthBizEntry">'Asset Entry'!$D$57</definedName>
    <definedName name="NCOthBizTot">'Asset Entry'!$E$61</definedName>
    <definedName name="NCOthLiabEntry">'Liability Entry'!$A$43</definedName>
    <definedName name="NCOthLiabTot">'Liability Entry'!$B$47</definedName>
    <definedName name="NCPurchBreedLivestockTot">'Asset Entry'!$E$26</definedName>
    <definedName name="NCREEntry">'Asset Entry'!$D$50</definedName>
    <definedName name="NCRETot">'Asset Entry'!$E$54</definedName>
    <definedName name="NetIncomeAgYear1">'Final Income and Cash Flows'!$C$79</definedName>
    <definedName name="NetIncomeAgYear2">'Final Income and Cash Flows'!$D$79</definedName>
    <definedName name="NetIncomeDMYear1">'Final Income and Cash Flows'!$C$126</definedName>
    <definedName name="NetIncomeDMYear2">'Final Income and Cash Flows'!$D$126</definedName>
    <definedName name="Number_of_Payments" localSheetId="14">MATCH(0.01,End_Bal,-1)+1</definedName>
    <definedName name="Number_of_Payments" localSheetId="13">MATCH(0.01,End_Bal,-1)+1</definedName>
    <definedName name="Number_of_Payments" localSheetId="9">MATCH(0.01,End_Bal,-1)+1</definedName>
    <definedName name="Number_of_Payments">MATCH(0.01,End_Bal,-1)+1</definedName>
    <definedName name="NumberOperators">Inputs!$A$37:$A$42</definedName>
    <definedName name="NumberOperatorsValue">'Gen Info'!$K$15</definedName>
    <definedName name="Payment_Date" localSheetId="14">DATE(YEAR(Loan_Start),MONTH([0]!Loan_Start)+Payment_Number,DAY([0]!Loan_Start))</definedName>
    <definedName name="Payment_Date" localSheetId="13">DATE(YEAR(Loan_Start),MONTH([0]!Loan_Start)+Payment_Number,DAY([0]!Loan_Start))</definedName>
    <definedName name="Payment_Date" localSheetId="9">DATE(YEAR(Loan_Start),MONTH([0]!Loan_Start)+Payment_Number,DAY([0]!Loan_Start))</definedName>
    <definedName name="Payment_Date">DATE(YEAR(Loan_Start),MONTH([0]!Loan_Start)+Payment_Number,DAY([0]!Loan_Start))</definedName>
    <definedName name="PersCashEntry">'Asset Entry'!$G$8</definedName>
    <definedName name="PersCashTot">'Asset Entry'!$H$12</definedName>
    <definedName name="PersLAPEntry">'Liability Entry'!$D$8</definedName>
    <definedName name="PersLAPTot">'Liability Entry'!$E$12</definedName>
    <definedName name="PersLCCEntry">'Liability Entry'!$D$15</definedName>
    <definedName name="PersLCCTot">'Liability Entry'!$E$19</definedName>
    <definedName name="PersLifeInsEntry">'Asset Entry'!$G$43</definedName>
    <definedName name="PersLifeInsTot">'Asset Entry'!$H$47</definedName>
    <definedName name="PersLoanEntry">'Asset Entry'!$G$22</definedName>
    <definedName name="PersLoanRTot">'Asset Entry'!$H$26</definedName>
    <definedName name="PersLOthEntry">'Liability Entry'!$D$29</definedName>
    <definedName name="PersLOthTot">'Liability Entry'!$E$33</definedName>
    <definedName name="PersLTaxesEntry">'Liability Entry'!$D$22</definedName>
    <definedName name="PersLTaxesTot">'Liability Entry'!$E$26</definedName>
    <definedName name="PersOthEntry">'Asset Entry'!$G$64</definedName>
    <definedName name="PersOthTot">'Asset Entry'!$H$68</definedName>
    <definedName name="PersPropEntry">'Asset Entry'!$G$29</definedName>
    <definedName name="PersPropTot">'Asset Entry'!$H$33</definedName>
    <definedName name="PersREEntry">'Asset Entry'!$G$50</definedName>
    <definedName name="PersRetireEntry">'Asset Entry'!$G$57:$G$60</definedName>
    <definedName name="PersRetireTot">'Asset Entry'!$H$61</definedName>
    <definedName name="PersRETot">'Asset Entry'!$H$54</definedName>
    <definedName name="PersStockEntry">'Asset Entry'!$G$15</definedName>
    <definedName name="PersStockTot">'Asset Entry'!$H$19</definedName>
    <definedName name="PersVehEntry">'Asset Entry'!$G$36</definedName>
    <definedName name="PersVehicleTot">'Asset Entry'!$H$40</definedName>
    <definedName name="PictGo">"Picture 3"</definedName>
    <definedName name="Picture">INDIRECT(Inputs!$D$28)</definedName>
    <definedName name="_xlnm.Print_Area" localSheetId="11">'Cash Flows'!$B$2:$Q$88,'Cash Flows'!$B$95:$Q$142,'Cash Flows'!$B$149:$Q$221</definedName>
    <definedName name="_xlnm.Print_Area" localSheetId="6">'Final Balance Sheet'!$B$1:$G$62</definedName>
    <definedName name="_xlnm.Print_Area" localSheetId="15">'Final Income and Cash Flows'!$B$10:$D$79,'Final Income and Cash Flows'!$F$11:$M$74,'Final Income and Cash Flows'!$B$83:$D$126,'Final Income and Cash Flows'!$E$83:$L$132,'Final Income and Cash Flows'!$B$180:$D$230</definedName>
    <definedName name="_xlnm.Print_Area" localSheetId="16">'Financial Scorecard'!$A$2:$I$36</definedName>
    <definedName name="_xlnm.Print_Area" localSheetId="12">ProposedLoans!$B$5:$AC$22</definedName>
    <definedName name="_xlnm.Print_Area" localSheetId="9">'Schedule F Cash to Accrual'!$U$62:$Z$125,'Schedule F Cash to Accrual'!$AE$62:$AG$87,'Schedule F Cash to Accrual'!$B$1:$I$50</definedName>
    <definedName name="_xlnm.Print_Area" localSheetId="8">'Schedule F Entry'!$A$2:$F$100</definedName>
    <definedName name="Print_Area_Reset" localSheetId="14">OFFSET(Full_Print,0,0,'Projected Inventory'!Last_Row)</definedName>
    <definedName name="Print_Area_Reset" localSheetId="13">OFFSET(Full_Print,0,0,ProposedLoansWkst!Last_Row)</definedName>
    <definedName name="Print_Area_Reset" localSheetId="9">OFFSET(Full_Print,0,0,'Schedule F Cash to Accrual'!Last_Row)</definedName>
    <definedName name="Print_Area_Reset">OFFSET(Full_Print,0,0,Last_Row)</definedName>
    <definedName name="_xlnm.Print_Titles" localSheetId="11">'Cash Flows'!$B:$E,'Cash Flows'!$6:$6</definedName>
    <definedName name="ProjPersonal">'Gen Info'!$K$19</definedName>
    <definedName name="ProjPersText">Inputs!$K$6:$K$7</definedName>
    <definedName name="ProjTime" localSheetId="14">'Gen Info'!#REF!</definedName>
    <definedName name="ProjTime" localSheetId="13">'Gen Info'!#REF!</definedName>
    <definedName name="ProjTime" localSheetId="9">'Gen Info'!#REF!</definedName>
    <definedName name="ProjTime">'Gen Info'!#REF!</definedName>
    <definedName name="RatiDtoEAGraph">'Financial Scorecard'!$F$20</definedName>
    <definedName name="RatiDtoEALabel">'Financial Scorecard'!$G$20</definedName>
    <definedName name="RatiDtoEAYear1">'Financial Scorecard'!$D$20</definedName>
    <definedName name="RatiDtoEAYear2">'Financial Scorecard'!$E$20</definedName>
    <definedName name="RatiNFIGraph">'Financial Scorecard'!$F$23</definedName>
    <definedName name="RatiNFILabel">'Financial Scorecard'!$G$23</definedName>
    <definedName name="RatiNFIYear1">'Financial Scorecard'!$D$23</definedName>
    <definedName name="RatiNFIYear2">'Financial Scorecard'!$E$23</definedName>
    <definedName name="RatioAssetTOProfitGraph">'Financial Scorecard'!$F$32</definedName>
    <definedName name="RatioAssetTOProfitLabel">'Financial Scorecard'!$G$32</definedName>
    <definedName name="RatioAssetTOProfitYear1">'Financial Scorecard'!$D$32</definedName>
    <definedName name="RatioAssetTOProfitYear2">'Financial Scorecard'!$E$32</definedName>
    <definedName name="RatioCurrentGraph">'Financial Scorecard'!$F$13</definedName>
    <definedName name="RatioCurrentLabel">'Financial Scorecard'!$G$13</definedName>
    <definedName name="RatioCurrentRatioCalc">'Final Balance Sheet'!$C$44</definedName>
    <definedName name="RatioCurrentYear1">'Financial Scorecard'!$D$13</definedName>
    <definedName name="RatioCurrentYear2">'Financial Scorecard'!$E$13</definedName>
    <definedName name="RatioDepExGraph">'Financial Scorecard'!$F$35</definedName>
    <definedName name="RatioDepExLabel">'Financial Scorecard'!$G$35</definedName>
    <definedName name="RatioDepExYear1">'Financial Scorecard'!$D$35</definedName>
    <definedName name="RatioDepExYear2">'Financial Scorecard'!$E$35</definedName>
    <definedName name="RatioDtoACalc">'Final Balance Sheet'!$F$44</definedName>
    <definedName name="RatioDtoAGraph">'Financial Scorecard'!$F$18</definedName>
    <definedName name="RatioDtoALabel">'Financial Scorecard'!$G$18</definedName>
    <definedName name="RatioDtoAYear1">'Financial Scorecard'!$D$18</definedName>
    <definedName name="RatioDtoAYear2">'Financial Scorecard'!$E$18</definedName>
    <definedName name="RatioDtoECalc">'Final Balance Sheet'!$F$45</definedName>
    <definedName name="RatioEtoAGraph">'Financial Scorecard'!$F$19</definedName>
    <definedName name="RatioEtoALabel">'Financial Scorecard'!$G$19</definedName>
    <definedName name="RatioEtoAYear1">'Financial Scorecard'!$D$19</definedName>
    <definedName name="RatioEtoAYear2">'Financial Scorecard'!$E$19</definedName>
    <definedName name="RatioIntExLabel">'Financial Scorecard'!$G$34</definedName>
    <definedName name="RatioIntExpGraph">'Financial Scorecard'!$F$34</definedName>
    <definedName name="RatioIntExYear1">'Financial Scorecard'!$D$34</definedName>
    <definedName name="RatioIntExYear2">'Financial Scorecard'!$E$34</definedName>
    <definedName name="RatioNetIncomeGraph">'Financial Scorecard'!$F$36</definedName>
    <definedName name="RatioNetIncomeLabel">'Financial Scorecard'!$G$36</definedName>
    <definedName name="RatioNetIncomeYear1">'Financial Scorecard'!$D$36</definedName>
    <definedName name="RatioNetIncomeYear2">'Financial Scorecard'!$E$36</definedName>
    <definedName name="RatioOpExGraph">'Financial Scorecard'!$F$33</definedName>
    <definedName name="RatioOpExLabel">'Financial Scorecard'!$G$33</definedName>
    <definedName name="RatioOpExYear1">'Financial Scorecard'!$D$33</definedName>
    <definedName name="RatioOpExYear2">'Financial Scorecard'!$E$33</definedName>
    <definedName name="RatioOpProfitGraph">'Financial Scorecard'!$F$26</definedName>
    <definedName name="RatioOpProfitLabel">'Financial Scorecard'!$G$26</definedName>
    <definedName name="RatioOpProfitYear1">'Financial Scorecard'!$D$26</definedName>
    <definedName name="RatioOpProfitYear2">'Financial Scorecard'!$E$26</definedName>
    <definedName name="RatioROAGraph">'Financial Scorecard'!$F$24</definedName>
    <definedName name="RatioROALabel">'Financial Scorecard'!$G$24</definedName>
    <definedName name="RatioROAYear1">'Financial Scorecard'!$D$24</definedName>
    <definedName name="RatioROAYear2">'Financial Scorecard'!$E$24</definedName>
    <definedName name="RatioROEGraph">'Financial Scorecard'!$F$25</definedName>
    <definedName name="RatioROELabel">'Financial Scorecard'!$G$25</definedName>
    <definedName name="RatioROEYear1">'Financial Scorecard'!$D$25</definedName>
    <definedName name="RatioROEYear2">'Financial Scorecard'!$E$25</definedName>
    <definedName name="RatioTDCProfitGraph">'Financial Scorecard'!$F$29</definedName>
    <definedName name="RatioTDCProfitLabel">'Financial Scorecard'!$G$29</definedName>
    <definedName name="RatioTDCProfitYear1">'Financial Scorecard'!$D$29</definedName>
    <definedName name="RatioTDCProfitYear2">'Financial Scorecard'!$E$29</definedName>
    <definedName name="RatioWCGraph">'Financial Scorecard'!$F$14</definedName>
    <definedName name="RatioWCGRGraph">'Financial Scorecard'!$F$15</definedName>
    <definedName name="RatioWCGRLabel">'Financial Scorecard'!$G$15</definedName>
    <definedName name="RatioWCGRYear1">'Financial Scorecard'!$D$15</definedName>
    <definedName name="RatioWCGRYear2">'Financial Scorecard'!$E$15</definedName>
    <definedName name="RatioWCLabel">'Financial Scorecard'!$G$14</definedName>
    <definedName name="RatioWCYear1">'Financial Scorecard'!$D$14</definedName>
    <definedName name="RatioWCYear2">'Financial Scorecard'!$E$14</definedName>
    <definedName name="RatioWorkingCapCalc">'Final Balance Sheet'!$C$45</definedName>
    <definedName name="schF10">'Schedule F Entry'!$E$34</definedName>
    <definedName name="schF1099B">'Schedule F Cash to Accrual'!$P$9</definedName>
    <definedName name="schF1099BOptional">'Schedule F Cash to Accrual'!$P$11</definedName>
    <definedName name="schF11">'Schedule F Entry'!$E$35</definedName>
    <definedName name="schF12">'Schedule F Entry'!$E$36</definedName>
    <definedName name="schF13">'Schedule F Entry'!$E$37</definedName>
    <definedName name="schF14">'Schedule F Entry'!$E$38</definedName>
    <definedName name="schF15">'Schedule F Entry'!$E$39</definedName>
    <definedName name="schF16">'Schedule F Entry'!$E$40</definedName>
    <definedName name="schF17">'Schedule F Entry'!$E$41</definedName>
    <definedName name="schF18">'Schedule F Entry'!$E$42</definedName>
    <definedName name="schF19">'Schedule F Entry'!$E$43</definedName>
    <definedName name="schF1a">'Schedule F Entry'!$E$7</definedName>
    <definedName name="schF1b">'Schedule F Entry'!$E$12</definedName>
    <definedName name="schF1c">'Schedule F Entry'!$E$13</definedName>
    <definedName name="schF2">'Schedule F Entry'!$E$14</definedName>
    <definedName name="schF20">'Schedule F Entry'!$E$44</definedName>
    <definedName name="schF21a">'Schedule F Entry'!$E$45</definedName>
    <definedName name="schF21b">'Schedule F Entry'!$E$46</definedName>
    <definedName name="schF22">'Schedule F Entry'!$E$47</definedName>
    <definedName name="schF23">'Schedule F Entry'!$E$48</definedName>
    <definedName name="schF24a">'Schedule F Entry'!$E$49</definedName>
    <definedName name="schF24b">'Schedule F Entry'!$E$50</definedName>
    <definedName name="schF25">'Schedule F Entry'!$E$51</definedName>
    <definedName name="schF26">'Schedule F Entry'!$E$52</definedName>
    <definedName name="schF27">'Schedule F Entry'!$E$53</definedName>
    <definedName name="schF28">'Schedule F Entry'!$E$54</definedName>
    <definedName name="schF29">'Schedule F Entry'!$E$55</definedName>
    <definedName name="schF30">'Schedule F Entry'!$E$56</definedName>
    <definedName name="schF31">'Schedule F Entry'!$E$57</definedName>
    <definedName name="schF32a">'Schedule F Entry'!$E$58</definedName>
    <definedName name="schF32b">'Schedule F Entry'!$E$59</definedName>
    <definedName name="schF32c">'Schedule F Entry'!$E$60</definedName>
    <definedName name="schF32d">'Schedule F Entry'!$E$61</definedName>
    <definedName name="schF32e">'Schedule F Entry'!$E$62</definedName>
    <definedName name="schF32f">'Schedule F Entry'!$E$63</definedName>
    <definedName name="schF33">'Schedule F Entry'!$E$64</definedName>
    <definedName name="schF34">'Schedule F Entry'!$E$66</definedName>
    <definedName name="schF3a">'Schedule F Entry'!$E$19</definedName>
    <definedName name="schF3b">'Schedule F Entry'!$E$20</definedName>
    <definedName name="schF4a">'Schedule F Entry'!$E$21</definedName>
    <definedName name="schF4b">'Schedule F Entry'!$E$22</definedName>
    <definedName name="schF5a">'Schedule F Entry'!$E$23</definedName>
    <definedName name="schF5b">'Schedule F Entry'!$E$24</definedName>
    <definedName name="schF5c">'Schedule F Entry'!$E$25</definedName>
    <definedName name="schF6a">'Schedule F Entry'!$E$26</definedName>
    <definedName name="schF6b">'Schedule F Entry'!$E$27</definedName>
    <definedName name="schF6d">'Schedule F Entry'!$E$28</definedName>
    <definedName name="schF7">'Schedule F Entry'!$E$29</definedName>
    <definedName name="schF8">'Schedule F Entry'!$E$30</definedName>
    <definedName name="schF9">'Schedule F Entry'!$E$31</definedName>
    <definedName name="schF9Summary">'Schedule F Cash to Accrual'!$H$8</definedName>
    <definedName name="schFAAAccIntBeg">'Schedule F Entry'!$D$88</definedName>
    <definedName name="schFAAAccIntEnd">'Schedule F Entry'!$E$88</definedName>
    <definedName name="schFAAAPBeg">'Schedule F Entry'!$D$87</definedName>
    <definedName name="schFAAAPEnd">'Schedule F Entry'!$E$87</definedName>
    <definedName name="schFAAARBeg">'Schedule F Entry'!$D$82</definedName>
    <definedName name="schFAAAREnd">'Schedule F Entry'!$E$82</definedName>
    <definedName name="schFAACropBeg">'Schedule F Entry'!$D$80</definedName>
    <definedName name="schFAACropEnd">'Schedule F Entry'!$E$80</definedName>
    <definedName name="schFAAGrowCropBeg">'Schedule F Entry'!$D$86</definedName>
    <definedName name="schFAAGrowCropEnd">'Schedule F Entry'!$E$86</definedName>
    <definedName name="schFAAHedgeBeg">'Schedule F Entry'!$D$83</definedName>
    <definedName name="schFAAHedgeEnd">'Schedule F Entry'!$E$83</definedName>
    <definedName name="schFAAIncTaxBeg">'Schedule F Entry'!$D$89</definedName>
    <definedName name="schFAAIncTaxEnd">'Schedule F Entry'!$E$89</definedName>
    <definedName name="schFAALvskBeg">'Schedule F Entry'!$D$81</definedName>
    <definedName name="schFAALvskEnd">'Schedule F Entry'!$E$81</definedName>
    <definedName name="schFAAOthInvBeg">'Schedule F Entry'!$D$84</definedName>
    <definedName name="schFAAOthInvEnd">'Schedule F Entry'!$E$84</definedName>
    <definedName name="schFAAPrepaidBeg">'Schedule F Entry'!$D$85</definedName>
    <definedName name="schFAAPrepaidEnd">'Schedule F Entry'!$E$85</definedName>
    <definedName name="schFAssetsBuildBeg">'Schedule F Entry'!$D$97</definedName>
    <definedName name="schFAssetsBuildEnd">'Schedule F Entry'!$E$97</definedName>
    <definedName name="schFAssetsCashBeg">'Schedule F Entry'!$D$92</definedName>
    <definedName name="schFAssetsCashEnd">'Schedule F Entry'!$E$92</definedName>
    <definedName name="schFAssetsLandBeg">'Schedule F Entry'!$D$98</definedName>
    <definedName name="schFAssetsLandEnd">'Schedule F Entry'!$E$98</definedName>
    <definedName name="schFAssetsMachBeg">'Schedule F Entry'!$D$95</definedName>
    <definedName name="schFAssetsMachEnd">'Schedule F Entry'!$E$95</definedName>
    <definedName name="schFAssetsPersonalBeg">'Schedule F Entry'!$D$99</definedName>
    <definedName name="schFAssetsPersonalEnd">'Schedule F Entry'!$E$99</definedName>
    <definedName name="schFAssetsPLvskBeg">'Schedule F Entry'!$D$94</definedName>
    <definedName name="schFAssetsPLvskEnd">'Schedule F Entry'!$E$94</definedName>
    <definedName name="schFAssetsRLvskBeg">'Schedule F Entry'!$D$93</definedName>
    <definedName name="schFAssetsRLvskEnd">'Schedule F Entry'!$E$93</definedName>
    <definedName name="schFAssetsVehBeg">'Schedule F Entry'!$D$96</definedName>
    <definedName name="schFAssetsVehEnd">'Schedule F Entry'!$E$96</definedName>
    <definedName name="schFCCC5a">'Schedule F Cash to Accrual'!$H$10</definedName>
    <definedName name="schFCropIns6a">'Schedule F Cash to Accrual'!$H$12</definedName>
    <definedName name="schFCropIns6b">'Schedule F Cash to Accrual'!$H$11</definedName>
    <definedName name="schFCropIns6d">'Schedule F Cash to Accrual'!$H$13</definedName>
    <definedName name="schFCropInvChange">'Schedule F Cash to Accrual'!$H$18</definedName>
    <definedName name="schFCulls">'Schedule F Cash to Accrual'!$P$8</definedName>
    <definedName name="schFDeprBldg">'Schedule F Cash to Accrual'!$H$44</definedName>
    <definedName name="schFDeprBrdLvskReplace">'Schedule F Cash to Accrual'!$H$45+'Schedule F Cash to Accrual'!$H$41</definedName>
    <definedName name="schFDeprEquip">'Schedule F Cash to Accrual'!$H$42</definedName>
    <definedName name="schFDeprVeh">'Schedule F Cash to Accrual'!$H$43</definedName>
    <definedName name="schFFamLiving">'Schedule F Cash to Accrual'!$P$16</definedName>
    <definedName name="schFFeederLivestock1b">'Schedule F Cash to Accrual'!$H$9</definedName>
    <definedName name="schFFeederPurch">'Schedule F Cash to Accrual'!$P$12</definedName>
    <definedName name="schFGiftsGive">'Schedule F Cash to Accrual'!$P$18</definedName>
    <definedName name="schFHedging">'Schedule F Cash to Accrual'!$P$10</definedName>
    <definedName name="schFInherit">'Schedule F Cash to Accrual'!$P$15</definedName>
    <definedName name="schFLoanOpLoanBorrow">'Schedule F Entry'!$E$75</definedName>
    <definedName name="schFLoanOpLoanPay">'Schedule F Entry'!$E$70</definedName>
    <definedName name="schFLoanTermBorrow">'Schedule F Entry'!$E$76</definedName>
    <definedName name="schFLoanTermPay">'Schedule F Entry'!$E$71</definedName>
    <definedName name="schFPAssBusInvPurch">'Schedule F Cash to Accrual'!$P$42</definedName>
    <definedName name="schFPAssBusInvSale">'Schedule F Cash to Accrual'!$P$52</definedName>
    <definedName name="schFPAssFurnishPurch">'Schedule F Cash to Accrual'!$P$38</definedName>
    <definedName name="schFPAssFurnishSale">'Schedule F Cash to Accrual'!$P$48</definedName>
    <definedName name="schFPAssLifeInsPurch">'Schedule F Cash to Accrual'!$P$40</definedName>
    <definedName name="schFPAssLifeInsSale">'Schedule F Cash to Accrual'!$P$50</definedName>
    <definedName name="schFPAssOtherPurch">'Schedule F Cash to Accrual'!$P$44</definedName>
    <definedName name="schFPAssOtherSale">'Schedule F Cash to Accrual'!$P$54</definedName>
    <definedName name="schFPAssREPurch">'Schedule F Cash to Accrual'!$P$43</definedName>
    <definedName name="schFPAssRESale">'Schedule F Cash to Accrual'!$P$53</definedName>
    <definedName name="schFPAssRetirePurch">'Schedule F Cash to Accrual'!$P$41</definedName>
    <definedName name="schFPAssRetireSale">'Schedule F Cash to Accrual'!$P$51</definedName>
    <definedName name="schFPAssStockPurch">'Schedule F Cash to Accrual'!$P$37</definedName>
    <definedName name="schFPAssStockSale">'Schedule F Cash to Accrual'!$P$47</definedName>
    <definedName name="schFPAssVehPurch">'Schedule F Cash to Accrual'!$P$39</definedName>
    <definedName name="schFPAssVehSale">'Schedule F Cash to Accrual'!$P$49</definedName>
    <definedName name="schFPersLoanTermBorrow">'Schedule F Entry'!$E$77</definedName>
    <definedName name="schFPersLoanTermPay">'Schedule F Entry'!$E$72</definedName>
    <definedName name="schFPersonalIncome">'Schedule F Cash to Accrual'!$P$14</definedName>
    <definedName name="schFPersonalLiabBeg">'Schedule F Entry'!$D$100</definedName>
    <definedName name="schFPersonalLiabEnd">'Schedule F Entry'!$E$100</definedName>
    <definedName name="schFPurchBldg">'Schedule F Cash to Accrual'!$P$25</definedName>
    <definedName name="schFPurchLand">'Schedule F Cash to Accrual'!$P$24</definedName>
    <definedName name="schFPurchlvsk">'Schedule F Cash to Accrual'!$P$21</definedName>
    <definedName name="schFPurchMach">'Schedule F Cash to Accrual'!$P$22</definedName>
    <definedName name="schFPurchOther">'Schedule F Cash to Accrual'!$P$26</definedName>
    <definedName name="schFPurchVehicle">'Schedule F Cash to Accrual'!$P$23</definedName>
    <definedName name="schFSaleBldg">'Schedule F Cash to Accrual'!$P$33</definedName>
    <definedName name="schFSaleLand">'Schedule F Cash to Accrual'!$P$32</definedName>
    <definedName name="schFSaleLvsk">'Schedule F Cash to Accrual'!$P$29</definedName>
    <definedName name="schFSaleMach">'Schedule F Cash to Accrual'!$P$30</definedName>
    <definedName name="schFSaleOther">'Schedule F Cash to Accrual'!$P$34</definedName>
    <definedName name="schFSaleVehicle">'Schedule F Cash to Accrual'!$P$31</definedName>
    <definedName name="schFTaxes">'Schedule F Cash to Accrual'!$P$17</definedName>
    <definedName name="schFValLaborMgmt">'Schedule F Cash to Accrual'!$P$13</definedName>
    <definedName name="ScorecardGraphNumber">'Financial Scorecard'!$M$2</definedName>
    <definedName name="ScorecardGraphs" localSheetId="14">Inputs!$A$32:$A$33</definedName>
    <definedName name="ScorecardGraphs">Inputs!$A$32:$A$33</definedName>
    <definedName name="ScorecardGraphsChoice">'Financial Scorecard'!$N$2</definedName>
    <definedName name="SliderAssetTOProfitGraph">'Financial Scorecard'!$Q$32</definedName>
    <definedName name="SliderCurrentGraph">'Financial Scorecard'!$Q$13</definedName>
    <definedName name="SliderDepExGraph">'Financial Scorecard'!$Q$35</definedName>
    <definedName name="SliderDtoAGraph">'Financial Scorecard'!$Q$18</definedName>
    <definedName name="SliderDtoEAGraph">'Financial Scorecard'!$Q$20</definedName>
    <definedName name="SliderEtoAGraph">'Financial Scorecard'!$Q$19</definedName>
    <definedName name="SliderIntExpGraph">'Financial Scorecard'!$Q$34</definedName>
    <definedName name="SliderNetIncomeGraph">'Financial Scorecard'!$Q$36</definedName>
    <definedName name="SliderNFIGraph">'Financial Scorecard'!$Q$23</definedName>
    <definedName name="SliderOpExGraph">'Financial Scorecard'!$Q$33</definedName>
    <definedName name="SliderOpProfitGraph">'Financial Scorecard'!$Q$26</definedName>
    <definedName name="SliderROAGraph">'Financial Scorecard'!$Q$24</definedName>
    <definedName name="SliderROEGraph">'Financial Scorecard'!$Q$25</definedName>
    <definedName name="SliderTDCProfitGraph">'Financial Scorecard'!$Q$29</definedName>
    <definedName name="SliderWCGraph">'Financial Scorecard'!$Q$14</definedName>
    <definedName name="SliderWCGRGraph">'Financial Scorecard'!$Q$15</definedName>
    <definedName name="solver_eng" localSheetId="15" hidden="1">1</definedName>
    <definedName name="solver_neg" localSheetId="15" hidden="1">1</definedName>
    <definedName name="solver_num" localSheetId="15" hidden="1">0</definedName>
    <definedName name="solver_opt" localSheetId="15" hidden="1">'Final Income and Cash Flows'!#REF!</definedName>
    <definedName name="solver_typ" localSheetId="15" hidden="1">1</definedName>
    <definedName name="solver_val" localSheetId="15" hidden="1">0</definedName>
    <definedName name="solver_ver" localSheetId="15" hidden="1">3</definedName>
    <definedName name="State">'Gen Info'!$K$8</definedName>
    <definedName name="tabNameCheck">Inputs!$L$153:$L$169</definedName>
    <definedName name="tabSchF_Choice">Inputs!$J$153:$J$169</definedName>
    <definedName name="Values_Entered" localSheetId="14">IF(Loan_Amount*Interest_Rate*Loan_Years*[0]!Loan_Start&gt;0,1,0)</definedName>
    <definedName name="Values_Entered" localSheetId="13">IF(Loan_Amount*Interest_Rate*Loan_Years*[0]!Loan_Start&gt;0,1,0)</definedName>
    <definedName name="Values_Entered" localSheetId="9">IF(Loan_Amount*Interest_Rate*Loan_Years*[0]!Loan_Start&gt;0,1,0)</definedName>
    <definedName name="Values_Entered">IF(Loan_Amount*Interest_Rate*Loan_Years*[0]!Loan_Start&gt;0,1,0)</definedName>
    <definedName name="Year">'Gen Info'!$K$13</definedName>
    <definedName name="Year1">'Final Income and Cash Flows'!$C$17</definedName>
    <definedName name="Year1AccrInt">'Projected BS'!$D$37</definedName>
    <definedName name="Year1BusAssets">'Projected BS'!$D$29</definedName>
    <definedName name="Year1BusAssetsCurrent">'Projected BS'!$D$14</definedName>
    <definedName name="Year1BusLiab">'Projected BS'!$D$55</definedName>
    <definedName name="Year1BusLiabCurrent">'Projected BS'!$D$40</definedName>
    <definedName name="Year1DMOpExp">'Final Income and Cash Flows'!$C$124</definedName>
    <definedName name="Year1GCFI">'Final Income and Cash Flows'!$C$30</definedName>
    <definedName name="Year1GCIDM">'Final Income and Cash Flows'!$C$98</definedName>
    <definedName name="Year1NetWorth">'Projected BS'!$D$57</definedName>
    <definedName name="Year1OpExp">'Final Income and Cash Flows'!$C$77</definedName>
    <definedName name="Year1PersIncome">'Final Income and Cash Flows'!$C$196-'Final Income and Cash Flows'!$C$192-'Final Income and Cash Flows'!$C$193</definedName>
    <definedName name="Year1PersOutflows">SUM('Final Income and Cash Flows'!$C$199:$C$218,'Final Income and Cash Flows'!$C$224:$C$225)</definedName>
    <definedName name="Year1TermDebtPayments">'Loan Entry'!$AD$3</definedName>
    <definedName name="Year1ValueFarmProd">IF(HowSell="Direct to Processor",(Year1GCFI-ACFVCFeederLivestockTot-ACFVCPurchFeedTot),(Year1GCFI-ACFVCFeederLivestockTot-ACFVCPurchFeedTot+Year1GCIDM))</definedName>
    <definedName name="Year2">'Final Income and Cash Flows'!$D$17</definedName>
    <definedName name="Year2AccrIntProj">'Projected BS'!$E$37</definedName>
    <definedName name="Year2BusAssetsCurrentProj">'Projected BS'!$E$14</definedName>
    <definedName name="Year2BusAssetsProj">'Projected BS'!$E$29</definedName>
    <definedName name="Year2BusLiabCurrentProj">'Projected BS'!$E$40</definedName>
    <definedName name="Year2BusLiabProj">'Projected BS'!$E$55</definedName>
    <definedName name="Year2DMOpExpProj">'Final Income and Cash Flows'!$D$124</definedName>
    <definedName name="Year2GCFIProj">'Final Income and Cash Flows'!$D$30</definedName>
    <definedName name="Year2GCIDMProj">'Final Income and Cash Flows'!$D$98</definedName>
    <definedName name="Year2NetWorthProj">'Projected BS'!$E$57</definedName>
    <definedName name="Year2OpExpProj">'Final Income and Cash Flows'!$D$77</definedName>
    <definedName name="Year2PersIncomeProj">'Final Income and Cash Flows'!$D$196-'Final Income and Cash Flows'!$D$192-'Final Income and Cash Flows'!$D$193</definedName>
    <definedName name="Year2PersOutflowsProj">SUM('Final Income and Cash Flows'!$D$199:$D$218,'Final Income and Cash Flows'!$D$224:$D$225)</definedName>
    <definedName name="Year2TermDebtPaymentsProj">'Loan Entry'!$AE$3</definedName>
    <definedName name="Year2ValueFarmProdProj">(IF(HowSell="Direct to Processor",(Year2GCFIProj-MCFVCFeederLivestockTot-MCFVCPurchFeedTot),(Year2GCFIProj-MCFVCFeederLivestockTot-MCFVCPurchFeedTot+Year2GCIDMProj)))</definedName>
    <definedName name="Zip">'Gen Info'!$K$9</definedName>
  </definedNames>
  <calcPr calcId="191029"/>
  <extLst>
    <ext xmlns:x15="http://schemas.microsoft.com/office/spreadsheetml/2010/11/main" uri="{FCE2AD5D-F65C-4FA6-A056-5C36A1767C68}">
      <x15:dataModel>
        <x15:modelTables>
          <x15:modelTable id="TabMPHideDM-58a7b315-f1a3-4b28-a146-6979409ffb18" name="TabMPHideDM" connection="WorksheetConnection_FishBiz Financials.xlsx!TabMPHideDM"/>
          <x15:modelTable id="TabAPHideDM-da191ae9-3a0f-4f1a-b7b9-c5ec56a45cca" name="TabAPHideDM" connection="WorksheetConnection_FishBiz Financials.xlsx!TabAPHideDM"/>
        </x15:modelTables>
        <x15:modelRelationships>
          <x15:modelRelationship fromTable="TabAPHideDM" fromColumn="Column1" toTable="TabMPHideDM" toColumn="Column1"/>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78" i="25" l="1"/>
  <c r="AM88" i="25" l="1"/>
  <c r="AM87" i="25"/>
  <c r="AM86" i="25"/>
  <c r="AM85" i="25"/>
  <c r="AM84" i="25"/>
  <c r="AM79" i="25"/>
  <c r="AM80" i="25"/>
  <c r="AM78" i="25"/>
  <c r="AM77" i="25"/>
  <c r="AM76" i="25"/>
  <c r="AM75" i="25"/>
  <c r="AM68" i="25"/>
  <c r="AM65" i="25"/>
  <c r="AK64" i="25"/>
  <c r="AM81" i="25" l="1"/>
  <c r="AE64" i="25"/>
  <c r="V64" i="25"/>
  <c r="AG77" i="25"/>
  <c r="AG76" i="25"/>
  <c r="X108" i="25"/>
  <c r="W108" i="25"/>
  <c r="AG72" i="25"/>
  <c r="AG71" i="25"/>
  <c r="AG65" i="25" l="1"/>
  <c r="P237" i="8" l="1"/>
  <c r="P236" i="8"/>
  <c r="O236" i="8"/>
  <c r="N236" i="8"/>
  <c r="M236" i="8"/>
  <c r="L236" i="8"/>
  <c r="K236" i="8"/>
  <c r="J236" i="8"/>
  <c r="I236" i="8"/>
  <c r="H236" i="8"/>
  <c r="G236" i="8"/>
  <c r="F236" i="8"/>
  <c r="D232" i="8"/>
  <c r="D231" i="8"/>
  <c r="Q78" i="8"/>
  <c r="P78" i="8"/>
  <c r="O78" i="8"/>
  <c r="N78" i="8"/>
  <c r="M78" i="8"/>
  <c r="L78" i="8"/>
  <c r="K78" i="8"/>
  <c r="J78" i="8"/>
  <c r="I78" i="8"/>
  <c r="H78" i="8"/>
  <c r="G78" i="8"/>
  <c r="F78" i="8"/>
  <c r="E75" i="8"/>
  <c r="E74" i="8"/>
  <c r="Q232" i="8" s="1"/>
  <c r="E232" i="8" s="1"/>
  <c r="D74" i="8"/>
  <c r="D75" i="8"/>
  <c r="Q236" i="8" l="1"/>
  <c r="E236" i="8"/>
  <c r="D236" i="8"/>
  <c r="B162" i="2"/>
  <c r="U212" i="8"/>
  <c r="V212" i="8"/>
  <c r="W212" i="8"/>
  <c r="X212" i="8"/>
  <c r="Y212" i="8"/>
  <c r="Z212" i="8"/>
  <c r="AA212" i="8"/>
  <c r="AB212" i="8"/>
  <c r="AC212" i="8"/>
  <c r="AD212" i="8"/>
  <c r="AE212" i="8"/>
  <c r="T212" i="8"/>
  <c r="E188" i="8"/>
  <c r="AM83" i="25"/>
  <c r="AM89" i="25" s="1"/>
  <c r="E204" i="8" l="1"/>
  <c r="D204" i="8"/>
  <c r="E211" i="8"/>
  <c r="D211" i="8"/>
  <c r="D140" i="8"/>
  <c r="Q133" i="8"/>
  <c r="P133" i="8"/>
  <c r="O133" i="8"/>
  <c r="N133" i="8"/>
  <c r="M133" i="8"/>
  <c r="L133" i="8"/>
  <c r="K133" i="8"/>
  <c r="J133" i="8"/>
  <c r="I133" i="8"/>
  <c r="H133" i="8"/>
  <c r="G133" i="8"/>
  <c r="F133" i="8"/>
  <c r="D133" i="8"/>
  <c r="Q215" i="8"/>
  <c r="P215" i="8"/>
  <c r="O215" i="8"/>
  <c r="N215" i="8"/>
  <c r="M215" i="8"/>
  <c r="L215" i="8"/>
  <c r="K215" i="8"/>
  <c r="J215" i="8"/>
  <c r="I215" i="8"/>
  <c r="H215" i="8"/>
  <c r="G215" i="8"/>
  <c r="F215" i="8"/>
  <c r="E213" i="8" l="1"/>
  <c r="D83" i="8" l="1"/>
  <c r="D216" i="8"/>
  <c r="C64" i="2" l="1"/>
  <c r="X121" i="25"/>
  <c r="W121" i="25"/>
  <c r="V121" i="25"/>
  <c r="X120" i="25"/>
  <c r="W120" i="25"/>
  <c r="V120" i="25"/>
  <c r="X119" i="25"/>
  <c r="W119" i="25"/>
  <c r="V119" i="25"/>
  <c r="X118" i="25"/>
  <c r="W118" i="25"/>
  <c r="V118" i="25"/>
  <c r="Y111" i="25"/>
  <c r="Y107" i="25"/>
  <c r="V113" i="25"/>
  <c r="V112" i="25"/>
  <c r="V111" i="25"/>
  <c r="V108" i="25"/>
  <c r="V110" i="25"/>
  <c r="V107" i="25"/>
  <c r="V106" i="25"/>
  <c r="V105" i="25"/>
  <c r="V104" i="25"/>
  <c r="Z65" i="25"/>
  <c r="Z111" i="25" l="1"/>
  <c r="F3" i="11" l="1"/>
  <c r="G22" i="25" l="1"/>
  <c r="E41" i="25"/>
  <c r="D41" i="25"/>
  <c r="C41" i="25"/>
  <c r="V109" i="25" l="1"/>
  <c r="D72" i="8"/>
  <c r="D233" i="8"/>
  <c r="E26" i="4"/>
  <c r="D26" i="4"/>
  <c r="E94" i="24" l="1"/>
  <c r="Y118" i="25" s="1"/>
  <c r="Z118" i="25" s="1"/>
  <c r="D183" i="8"/>
  <c r="D187" i="8"/>
  <c r="D185" i="8"/>
  <c r="D184" i="8"/>
  <c r="D157" i="8"/>
  <c r="D153" i="8"/>
  <c r="D166" i="8"/>
  <c r="D180" i="8"/>
  <c r="D186" i="8"/>
  <c r="E156" i="8"/>
  <c r="D156" i="8"/>
  <c r="D151" i="8"/>
  <c r="D8" i="8"/>
  <c r="D205" i="8" s="1"/>
  <c r="D35" i="8"/>
  <c r="F41" i="25" l="1"/>
  <c r="H41" i="25" s="1"/>
  <c r="D228" i="8" s="1"/>
  <c r="C147" i="2"/>
  <c r="D226" i="8"/>
  <c r="D20" i="8"/>
  <c r="D11" i="8"/>
  <c r="D213" i="8"/>
  <c r="D84" i="8"/>
  <c r="D217" i="8"/>
  <c r="D82" i="8"/>
  <c r="C44" i="25"/>
  <c r="C43" i="25"/>
  <c r="C42" i="25"/>
  <c r="G35" i="25"/>
  <c r="G34" i="25"/>
  <c r="G32" i="25"/>
  <c r="F32" i="25"/>
  <c r="F31" i="25"/>
  <c r="G23" i="25"/>
  <c r="G21" i="25"/>
  <c r="F21" i="25"/>
  <c r="G20" i="25"/>
  <c r="G19" i="25"/>
  <c r="G18" i="25"/>
  <c r="D10" i="8"/>
  <c r="D12" i="8"/>
  <c r="D13" i="8"/>
  <c r="E7" i="24"/>
  <c r="E77" i="8"/>
  <c r="E59" i="8"/>
  <c r="D70" i="2" s="1"/>
  <c r="F70" i="2" s="1"/>
  <c r="E72" i="8"/>
  <c r="Q233" i="8" s="1"/>
  <c r="E233" i="8" s="1"/>
  <c r="E76" i="8"/>
  <c r="D85" i="8" l="1"/>
  <c r="E14" i="24"/>
  <c r="H28" i="25"/>
  <c r="D234" i="8"/>
  <c r="D77" i="8"/>
  <c r="D71" i="8"/>
  <c r="D73" i="8"/>
  <c r="D69" i="8"/>
  <c r="D59" i="8"/>
  <c r="C70" i="2" s="1"/>
  <c r="E70" i="2" s="1"/>
  <c r="D58" i="8"/>
  <c r="C69" i="2" s="1"/>
  <c r="D47" i="8"/>
  <c r="K155" i="13"/>
  <c r="K156" i="13"/>
  <c r="K157" i="13"/>
  <c r="K158" i="13"/>
  <c r="K159" i="13"/>
  <c r="K160" i="13"/>
  <c r="K161" i="13"/>
  <c r="K162" i="13"/>
  <c r="K163" i="13"/>
  <c r="K164" i="13"/>
  <c r="K165" i="13"/>
  <c r="K166" i="13"/>
  <c r="K167" i="13"/>
  <c r="K168" i="13"/>
  <c r="K169" i="13"/>
  <c r="K154" i="13"/>
  <c r="D62" i="8"/>
  <c r="C73" i="2" s="1"/>
  <c r="D60" i="8"/>
  <c r="C71" i="2" s="1"/>
  <c r="Z96" i="25" s="1"/>
  <c r="D57" i="8"/>
  <c r="D50" i="8"/>
  <c r="D49" i="8"/>
  <c r="D43" i="8"/>
  <c r="D42" i="8"/>
  <c r="D41" i="8"/>
  <c r="D40" i="8"/>
  <c r="D39" i="8"/>
  <c r="D38" i="8"/>
  <c r="D34" i="8"/>
  <c r="D33" i="8"/>
  <c r="D32" i="8"/>
  <c r="D30" i="8"/>
  <c r="D28" i="8"/>
  <c r="D37" i="8"/>
  <c r="D48" i="8"/>
  <c r="D61" i="8"/>
  <c r="C72" i="2" s="1"/>
  <c r="Z97" i="25" s="1"/>
  <c r="D31" i="8"/>
  <c r="D29" i="8"/>
  <c r="D24" i="8"/>
  <c r="D45" i="8"/>
  <c r="D54" i="8"/>
  <c r="D55" i="8"/>
  <c r="D27" i="8"/>
  <c r="D44" i="8"/>
  <c r="D25" i="8"/>
  <c r="D36" i="8"/>
  <c r="D46" i="8"/>
  <c r="D26" i="8"/>
  <c r="H13" i="25"/>
  <c r="H12" i="25"/>
  <c r="D16" i="8" s="1"/>
  <c r="H11" i="25"/>
  <c r="H9" i="25"/>
  <c r="H10" i="25"/>
  <c r="D76" i="8"/>
  <c r="D70" i="8"/>
  <c r="D68" i="8"/>
  <c r="D19" i="8"/>
  <c r="D18" i="8"/>
  <c r="D17" i="8"/>
  <c r="D15" i="8"/>
  <c r="D14" i="8"/>
  <c r="C22" i="2" s="1"/>
  <c r="V72" i="25" s="1"/>
  <c r="M154" i="13" a="1"/>
  <c r="C154" i="2" l="1"/>
  <c r="C153" i="2"/>
  <c r="D78" i="8"/>
  <c r="E69" i="2"/>
  <c r="Z95" i="25"/>
  <c r="D21" i="8"/>
  <c r="D237" i="8"/>
  <c r="M165" i="13"/>
  <c r="M154" i="13"/>
  <c r="M158" i="13"/>
  <c r="M162" i="13"/>
  <c r="M166" i="13"/>
  <c r="M156" i="13"/>
  <c r="M164" i="13"/>
  <c r="M157" i="13"/>
  <c r="M169" i="13"/>
  <c r="M155" i="13"/>
  <c r="M159" i="13"/>
  <c r="M163" i="13"/>
  <c r="M167" i="13"/>
  <c r="M160" i="13"/>
  <c r="M168" i="13"/>
  <c r="M161" i="13"/>
  <c r="G153" i="13"/>
  <c r="H14" i="25"/>
  <c r="H27" i="25"/>
  <c r="E44" i="25"/>
  <c r="D44" i="25"/>
  <c r="E43" i="25"/>
  <c r="D43" i="25"/>
  <c r="E42" i="25"/>
  <c r="D42" i="25"/>
  <c r="H32" i="25"/>
  <c r="D21" i="25"/>
  <c r="AM72" i="25" s="1"/>
  <c r="H5" i="25"/>
  <c r="H21" i="25" l="1"/>
  <c r="X107" i="25"/>
  <c r="W107" i="25"/>
  <c r="L161" i="13"/>
  <c r="L157" i="13"/>
  <c r="L168" i="13"/>
  <c r="L159" i="13"/>
  <c r="L164" i="13"/>
  <c r="L158" i="13"/>
  <c r="L162" i="13"/>
  <c r="L160" i="13"/>
  <c r="L155" i="13"/>
  <c r="L156" i="13"/>
  <c r="L163" i="13"/>
  <c r="L167" i="13"/>
  <c r="L169" i="13"/>
  <c r="L166" i="13"/>
  <c r="L165" i="13"/>
  <c r="L154" i="13"/>
  <c r="H5" i="23"/>
  <c r="Z107" i="25" l="1"/>
  <c r="E42" i="23"/>
  <c r="E41" i="23"/>
  <c r="D42" i="23"/>
  <c r="D41" i="23"/>
  <c r="E40" i="23"/>
  <c r="D40" i="23"/>
  <c r="H27" i="23"/>
  <c r="H26" i="23"/>
  <c r="D21" i="23"/>
  <c r="H14" i="23"/>
  <c r="H13" i="23"/>
  <c r="H12" i="23"/>
  <c r="H11" i="23"/>
  <c r="H10" i="23"/>
  <c r="H9" i="23"/>
  <c r="E64" i="24"/>
  <c r="E13" i="24"/>
  <c r="E31" i="24" s="1"/>
  <c r="H8" i="25" s="1"/>
  <c r="P13" i="25" l="1"/>
  <c r="H15" i="25"/>
  <c r="H25" i="23"/>
  <c r="H26" i="25"/>
  <c r="F40" i="23"/>
  <c r="H40" i="23" s="1"/>
  <c r="F41" i="23"/>
  <c r="H41" i="23" s="1"/>
  <c r="F42" i="23"/>
  <c r="H42" i="23" s="1"/>
  <c r="H8" i="23"/>
  <c r="H15" i="23" s="1"/>
  <c r="E66" i="24"/>
  <c r="H21" i="23"/>
  <c r="H31" i="23"/>
  <c r="H44" i="23" l="1"/>
  <c r="AC10" i="12"/>
  <c r="AC9" i="12"/>
  <c r="AC8" i="12"/>
  <c r="AC7" i="12"/>
  <c r="G5" i="12" l="1"/>
  <c r="Y10" i="12"/>
  <c r="Y9" i="12"/>
  <c r="Y8" i="12"/>
  <c r="Y7" i="12"/>
  <c r="G3" i="4" l="1"/>
  <c r="D3" i="18"/>
  <c r="E3" i="5"/>
  <c r="G10" i="12" l="1"/>
  <c r="G9" i="12"/>
  <c r="G8" i="12"/>
  <c r="G7" i="12"/>
  <c r="G6" i="12"/>
  <c r="AC19" i="15" l="1"/>
  <c r="AC18" i="15"/>
  <c r="AC16" i="15"/>
  <c r="AC15" i="15"/>
  <c r="AC14" i="15"/>
  <c r="AB19" i="15"/>
  <c r="AB18" i="15"/>
  <c r="AB16" i="15"/>
  <c r="AB15" i="15"/>
  <c r="AB14" i="15"/>
  <c r="AA19" i="15"/>
  <c r="AA18" i="15"/>
  <c r="AA16" i="15"/>
  <c r="U16" i="15" s="1"/>
  <c r="AA15" i="15"/>
  <c r="AA14" i="15"/>
  <c r="Z19" i="15"/>
  <c r="Z18" i="15"/>
  <c r="Z17" i="15"/>
  <c r="Y17" i="15" s="1"/>
  <c r="X17" i="15" s="1"/>
  <c r="Z16" i="15"/>
  <c r="Z15" i="15"/>
  <c r="Z14" i="15"/>
  <c r="Y19" i="15"/>
  <c r="Y18" i="15"/>
  <c r="Y16" i="15"/>
  <c r="Y15" i="15"/>
  <c r="Y14" i="15"/>
  <c r="X19" i="15"/>
  <c r="X18" i="15"/>
  <c r="W18" i="15" s="1"/>
  <c r="X16" i="15"/>
  <c r="W16" i="15" s="1"/>
  <c r="X15" i="15"/>
  <c r="X14" i="15"/>
  <c r="W14" i="15" s="1"/>
  <c r="W19" i="15"/>
  <c r="W15" i="15"/>
  <c r="V19" i="15"/>
  <c r="V18" i="15"/>
  <c r="V16" i="15"/>
  <c r="V15" i="15"/>
  <c r="V14" i="15"/>
  <c r="U19" i="15"/>
  <c r="U18" i="15"/>
  <c r="U15" i="15"/>
  <c r="U14" i="15"/>
  <c r="T19" i="15"/>
  <c r="T18" i="15"/>
  <c r="T16" i="15"/>
  <c r="T15" i="15"/>
  <c r="T14" i="15"/>
  <c r="S19" i="15"/>
  <c r="S18" i="15"/>
  <c r="S16" i="15"/>
  <c r="S15" i="15"/>
  <c r="S14" i="15"/>
  <c r="R19" i="15"/>
  <c r="R18" i="15"/>
  <c r="R16" i="15"/>
  <c r="R15" i="15"/>
  <c r="R14" i="15"/>
  <c r="Q19" i="15"/>
  <c r="Q18" i="15"/>
  <c r="Q17" i="15"/>
  <c r="R17" i="15" s="1"/>
  <c r="Q16" i="15"/>
  <c r="Q15" i="15"/>
  <c r="Q14" i="15"/>
  <c r="P19" i="15"/>
  <c r="P18" i="15"/>
  <c r="P17" i="15"/>
  <c r="P16" i="15"/>
  <c r="P15" i="15"/>
  <c r="P14" i="15"/>
  <c r="O19" i="15"/>
  <c r="O18" i="15"/>
  <c r="O17" i="15"/>
  <c r="O16" i="15"/>
  <c r="O15" i="15"/>
  <c r="O14" i="15"/>
  <c r="N19" i="15"/>
  <c r="N18" i="15"/>
  <c r="N16" i="15"/>
  <c r="N15" i="15"/>
  <c r="N14" i="15"/>
  <c r="L19" i="15"/>
  <c r="L18" i="15"/>
  <c r="L17" i="15"/>
  <c r="L16" i="15"/>
  <c r="L15" i="15"/>
  <c r="L14" i="15"/>
  <c r="W17" i="15" l="1"/>
  <c r="V17" i="15"/>
  <c r="T17" i="15" s="1"/>
  <c r="AA17" i="15"/>
  <c r="U17" i="15" s="1"/>
  <c r="S17" i="15" s="1"/>
  <c r="N17" i="15"/>
  <c r="AB17" i="15" l="1"/>
  <c r="AC17" i="15" s="1"/>
  <c r="M67" i="16" l="1"/>
  <c r="K17" i="10"/>
  <c r="C172" i="2" l="1"/>
  <c r="D215" i="8"/>
  <c r="D20" i="13"/>
  <c r="U53" i="13"/>
  <c r="M35" i="19"/>
  <c r="O16" i="19" l="1"/>
  <c r="O17" i="19"/>
  <c r="O21" i="19"/>
  <c r="O22" i="19"/>
  <c r="O27" i="19"/>
  <c r="O28" i="19"/>
  <c r="O30" i="19"/>
  <c r="O31" i="19"/>
  <c r="K84" i="13" l="1"/>
  <c r="F47" i="13" l="1"/>
  <c r="F46" i="13"/>
  <c r="F45" i="13"/>
  <c r="C58" i="2"/>
  <c r="C16" i="2"/>
  <c r="C42" i="2"/>
  <c r="Z76" i="25" s="1"/>
  <c r="B139" i="2"/>
  <c r="B87" i="2" s="1"/>
  <c r="B186" i="2" s="1"/>
  <c r="D8" i="21" l="1"/>
  <c r="D7" i="21"/>
  <c r="D6" i="21"/>
  <c r="J133" i="13"/>
  <c r="J134" i="13"/>
  <c r="J135" i="13"/>
  <c r="J136" i="13"/>
  <c r="J137" i="13"/>
  <c r="J138" i="13"/>
  <c r="J139" i="13"/>
  <c r="J132" i="13"/>
  <c r="J123" i="13"/>
  <c r="J124" i="13"/>
  <c r="J125" i="13"/>
  <c r="J126" i="13"/>
  <c r="J127" i="13"/>
  <c r="J128" i="13"/>
  <c r="J129" i="13"/>
  <c r="J130" i="13"/>
  <c r="J131" i="13"/>
  <c r="J122" i="13"/>
  <c r="K96" i="13"/>
  <c r="K100" i="13"/>
  <c r="K121" i="13"/>
  <c r="K95" i="13"/>
  <c r="K91" i="13"/>
  <c r="K118" i="13"/>
  <c r="K117" i="13"/>
  <c r="K116" i="13"/>
  <c r="K115" i="13"/>
  <c r="K98" i="13"/>
  <c r="K93" i="13"/>
  <c r="K114" i="13"/>
  <c r="K89" i="13"/>
  <c r="K90" i="13"/>
  <c r="K104" i="13"/>
  <c r="K113" i="13"/>
  <c r="K112" i="13"/>
  <c r="K111" i="13"/>
  <c r="K110" i="13"/>
  <c r="K103" i="13"/>
  <c r="K102" i="13"/>
  <c r="K94" i="13"/>
  <c r="K109" i="13"/>
  <c r="K101" i="13"/>
  <c r="K99" i="13"/>
  <c r="K108" i="13"/>
  <c r="K107" i="13"/>
  <c r="K106" i="13"/>
  <c r="K105" i="13"/>
  <c r="K97" i="13"/>
  <c r="K92" i="13"/>
  <c r="K88" i="13"/>
  <c r="K87" i="13"/>
  <c r="K85" i="13"/>
  <c r="E67" i="2" l="1"/>
  <c r="E66" i="2"/>
  <c r="F67" i="2"/>
  <c r="F66" i="2"/>
  <c r="P2" i="2"/>
  <c r="J60" i="13"/>
  <c r="O60" i="13" l="1"/>
  <c r="P60" i="13"/>
  <c r="T60" i="13" s="1"/>
  <c r="S60" i="13" s="1"/>
  <c r="N60" i="13"/>
  <c r="J19" i="19"/>
  <c r="H19" i="19" s="1"/>
  <c r="P19" i="19"/>
  <c r="J20" i="19"/>
  <c r="L20" i="19" s="1"/>
  <c r="P20" i="19"/>
  <c r="J24" i="19"/>
  <c r="H24" i="19" s="1"/>
  <c r="P24" i="19"/>
  <c r="J25" i="19"/>
  <c r="L25" i="19" s="1"/>
  <c r="P25" i="19"/>
  <c r="J26" i="19"/>
  <c r="H26" i="19" s="1"/>
  <c r="P26" i="19"/>
  <c r="J29" i="19"/>
  <c r="P29" i="19"/>
  <c r="J32" i="19"/>
  <c r="H32" i="19" s="1"/>
  <c r="P32" i="19"/>
  <c r="J33" i="19"/>
  <c r="L33" i="19" s="1"/>
  <c r="P33" i="19"/>
  <c r="J34" i="19"/>
  <c r="L34" i="19" s="1"/>
  <c r="P34" i="19"/>
  <c r="J35" i="19"/>
  <c r="P35" i="19"/>
  <c r="J36" i="19"/>
  <c r="L36" i="19" s="1"/>
  <c r="P36" i="19"/>
  <c r="P18" i="19"/>
  <c r="J18" i="19"/>
  <c r="R60" i="13" l="1"/>
  <c r="Q60" i="13"/>
  <c r="H25" i="19"/>
  <c r="L19" i="19"/>
  <c r="L32" i="19"/>
  <c r="L18" i="19"/>
  <c r="H18" i="19"/>
  <c r="H36" i="19"/>
  <c r="H34" i="19"/>
  <c r="H33" i="19"/>
  <c r="AE15" i="15"/>
  <c r="AE14" i="15"/>
  <c r="AE13" i="15"/>
  <c r="AE11" i="15"/>
  <c r="AB21" i="15" l="1"/>
  <c r="AB20" i="15"/>
  <c r="AB13" i="15"/>
  <c r="AB11" i="15"/>
  <c r="C222" i="2"/>
  <c r="E184" i="8"/>
  <c r="D222" i="2" s="1"/>
  <c r="C223" i="2"/>
  <c r="C221" i="2"/>
  <c r="E185" i="8"/>
  <c r="E183" i="8"/>
  <c r="D223" i="2" l="1"/>
  <c r="D221" i="2"/>
  <c r="P240" i="8"/>
  <c r="O240" i="8"/>
  <c r="N240" i="8"/>
  <c r="M240" i="8"/>
  <c r="L240" i="8"/>
  <c r="K240" i="8"/>
  <c r="J240" i="8"/>
  <c r="I240" i="8"/>
  <c r="H240" i="8"/>
  <c r="G240" i="8"/>
  <c r="F240" i="8"/>
  <c r="Q21" i="8"/>
  <c r="P21" i="8"/>
  <c r="O21" i="8"/>
  <c r="O225" i="8" s="1"/>
  <c r="N21" i="8"/>
  <c r="N225" i="8" s="1"/>
  <c r="M21" i="8"/>
  <c r="L21" i="8"/>
  <c r="L225" i="8" s="1"/>
  <c r="K21" i="8"/>
  <c r="J21" i="8"/>
  <c r="I21" i="8"/>
  <c r="H21" i="8"/>
  <c r="G21" i="8"/>
  <c r="F21" i="8"/>
  <c r="V21" i="15" l="1"/>
  <c r="V20" i="15"/>
  <c r="V13" i="15"/>
  <c r="V11" i="15"/>
  <c r="AH11" i="15"/>
  <c r="AH13" i="15"/>
  <c r="AH14" i="15"/>
  <c r="AH15" i="15"/>
  <c r="AF6" i="15"/>
  <c r="AA21" i="15" l="1"/>
  <c r="AD15" i="15" s="1"/>
  <c r="AA20" i="15"/>
  <c r="AD14" i="15" s="1"/>
  <c r="AA13" i="15"/>
  <c r="AD13" i="15" s="1"/>
  <c r="AA11" i="15"/>
  <c r="AD11" i="15" s="1"/>
  <c r="X21" i="15"/>
  <c r="W21" i="15" s="1"/>
  <c r="X20" i="15"/>
  <c r="W20" i="15" s="1"/>
  <c r="X13" i="15"/>
  <c r="W13" i="15" s="1"/>
  <c r="X11" i="15"/>
  <c r="W11" i="15" s="1"/>
  <c r="Y21" i="15"/>
  <c r="Y20" i="15"/>
  <c r="Y13" i="15"/>
  <c r="Y11" i="15"/>
  <c r="Y74" i="12"/>
  <c r="Y73" i="12"/>
  <c r="Y72" i="12"/>
  <c r="Y66" i="12"/>
  <c r="Y65" i="12"/>
  <c r="Y64" i="12"/>
  <c r="Y58" i="12"/>
  <c r="Y57" i="12"/>
  <c r="Y50" i="12"/>
  <c r="Y49" i="12"/>
  <c r="Y48" i="12"/>
  <c r="Y42" i="12"/>
  <c r="Y41" i="12"/>
  <c r="Y40" i="12"/>
  <c r="Y39" i="12"/>
  <c r="Y34" i="12"/>
  <c r="Y33" i="12"/>
  <c r="Y32" i="12"/>
  <c r="Y26" i="12"/>
  <c r="Y25" i="12"/>
  <c r="Y24" i="12"/>
  <c r="Y23" i="12"/>
  <c r="AC74" i="12"/>
  <c r="X74" i="12" s="1"/>
  <c r="AC73" i="12"/>
  <c r="X73" i="12" s="1"/>
  <c r="AC72" i="12"/>
  <c r="X72" i="12" s="1"/>
  <c r="AC66" i="12"/>
  <c r="X66" i="12" s="1"/>
  <c r="AC65" i="12"/>
  <c r="X65" i="12" s="1"/>
  <c r="AC64" i="12"/>
  <c r="X64" i="12" s="1"/>
  <c r="AC58" i="12"/>
  <c r="X58" i="12" s="1"/>
  <c r="AC57" i="12"/>
  <c r="X57" i="12" s="1"/>
  <c r="AC50" i="12"/>
  <c r="X50" i="12" s="1"/>
  <c r="AC49" i="12"/>
  <c r="X49" i="12" s="1"/>
  <c r="AC48" i="12"/>
  <c r="X48" i="12" s="1"/>
  <c r="AC42" i="12"/>
  <c r="X42" i="12" s="1"/>
  <c r="AC41" i="12"/>
  <c r="X41" i="12" s="1"/>
  <c r="AC40" i="12"/>
  <c r="X40" i="12" s="1"/>
  <c r="AC39" i="12"/>
  <c r="X39" i="12" s="1"/>
  <c r="AC34" i="12"/>
  <c r="X34" i="12" s="1"/>
  <c r="AC33" i="12"/>
  <c r="X33" i="12" s="1"/>
  <c r="AC32" i="12"/>
  <c r="X32" i="12" s="1"/>
  <c r="AC26" i="12"/>
  <c r="X26" i="12" s="1"/>
  <c r="AC25" i="12"/>
  <c r="X25" i="12" s="1"/>
  <c r="AC24" i="12"/>
  <c r="X24" i="12" s="1"/>
  <c r="AC23" i="12"/>
  <c r="X23" i="12" s="1"/>
  <c r="U13" i="15" l="1"/>
  <c r="AG13" i="15"/>
  <c r="AG11" i="15"/>
  <c r="U11" i="15"/>
  <c r="AG14" i="15"/>
  <c r="U20" i="15"/>
  <c r="AG15" i="15"/>
  <c r="U21" i="15"/>
  <c r="Z10" i="12"/>
  <c r="Z9" i="12"/>
  <c r="Z8" i="12"/>
  <c r="Z7" i="12"/>
  <c r="M10" i="12"/>
  <c r="M9" i="12"/>
  <c r="M8" i="12"/>
  <c r="M7" i="12"/>
  <c r="M6" i="12"/>
  <c r="S74" i="12"/>
  <c r="S73" i="12"/>
  <c r="S72" i="12"/>
  <c r="S66" i="12"/>
  <c r="S65" i="12"/>
  <c r="S64" i="12"/>
  <c r="S58" i="12"/>
  <c r="S57" i="12"/>
  <c r="S50" i="12"/>
  <c r="S49" i="12"/>
  <c r="S48" i="12"/>
  <c r="S42" i="12"/>
  <c r="S41" i="12"/>
  <c r="S40" i="12"/>
  <c r="S39" i="12"/>
  <c r="S34" i="12"/>
  <c r="S33" i="12"/>
  <c r="S32" i="12"/>
  <c r="S26" i="12"/>
  <c r="S25" i="12"/>
  <c r="S24" i="12"/>
  <c r="S23" i="12"/>
  <c r="AA23" i="12" l="1"/>
  <c r="Z23" i="12"/>
  <c r="AA39" i="12"/>
  <c r="Z39" i="12"/>
  <c r="AA57" i="12"/>
  <c r="Z57" i="12"/>
  <c r="AA65" i="12"/>
  <c r="Z65" i="12"/>
  <c r="AA73" i="12"/>
  <c r="Z73" i="12"/>
  <c r="AA24" i="12"/>
  <c r="Z24" i="12"/>
  <c r="AA32" i="12"/>
  <c r="Z32" i="12"/>
  <c r="AA40" i="12"/>
  <c r="Z40" i="12"/>
  <c r="AA48" i="12"/>
  <c r="Z48" i="12"/>
  <c r="AA58" i="12"/>
  <c r="Z58" i="12"/>
  <c r="AA66" i="12"/>
  <c r="Z66" i="12"/>
  <c r="AA74" i="12"/>
  <c r="Z74" i="12"/>
  <c r="AA25" i="12"/>
  <c r="Z25" i="12"/>
  <c r="AA33" i="12"/>
  <c r="Z33" i="12"/>
  <c r="AA41" i="12"/>
  <c r="Z41" i="12"/>
  <c r="AA49" i="12"/>
  <c r="Z49" i="12"/>
  <c r="AA26" i="12"/>
  <c r="Z26" i="12"/>
  <c r="AA34" i="12"/>
  <c r="Z34" i="12"/>
  <c r="AA42" i="12"/>
  <c r="Z42" i="12"/>
  <c r="AA50" i="12"/>
  <c r="Z50" i="12"/>
  <c r="AA64" i="12"/>
  <c r="Z64" i="12"/>
  <c r="AA72" i="12"/>
  <c r="Z72" i="12"/>
  <c r="AI26" i="15"/>
  <c r="AD74" i="12"/>
  <c r="AD73" i="12"/>
  <c r="AD72" i="12"/>
  <c r="AD66" i="12"/>
  <c r="AD65" i="12"/>
  <c r="AD64" i="12"/>
  <c r="AD58" i="12"/>
  <c r="AD57" i="12"/>
  <c r="AD50" i="12"/>
  <c r="AD49" i="12"/>
  <c r="AD48" i="12"/>
  <c r="AD42" i="12"/>
  <c r="AD41" i="12"/>
  <c r="AD40" i="12"/>
  <c r="AD34" i="12"/>
  <c r="AD33" i="12"/>
  <c r="AD32" i="12"/>
  <c r="AD26" i="12"/>
  <c r="AD25" i="12"/>
  <c r="AD24" i="12"/>
  <c r="AI42" i="12"/>
  <c r="AI41" i="12"/>
  <c r="AI40" i="12"/>
  <c r="AI74" i="12"/>
  <c r="AI73" i="12"/>
  <c r="AI72" i="12"/>
  <c r="AI66" i="12"/>
  <c r="AI65" i="12"/>
  <c r="AI64" i="12"/>
  <c r="AI58" i="12"/>
  <c r="AI57" i="12"/>
  <c r="AI50" i="12"/>
  <c r="AI49" i="12"/>
  <c r="AI48" i="12"/>
  <c r="AI34" i="12"/>
  <c r="AI33" i="12"/>
  <c r="AI32" i="12"/>
  <c r="AI26" i="12"/>
  <c r="AI25" i="12"/>
  <c r="AI24" i="12"/>
  <c r="AI23" i="12"/>
  <c r="C150" i="2" l="1"/>
  <c r="AF7" i="15"/>
  <c r="AF8" i="15"/>
  <c r="AF9" i="15"/>
  <c r="AF10" i="15"/>
  <c r="AF11" i="15"/>
  <c r="AF12" i="15"/>
  <c r="AF13" i="15"/>
  <c r="AF14" i="15"/>
  <c r="AF15" i="15"/>
  <c r="AI27" i="12" l="1"/>
  <c r="E44" i="20" s="1"/>
  <c r="C39" i="2"/>
  <c r="Z73" i="25" s="1"/>
  <c r="C40" i="2"/>
  <c r="Z74" i="25" s="1"/>
  <c r="C41" i="2"/>
  <c r="Z75" i="25" s="1"/>
  <c r="C43" i="2"/>
  <c r="Z77" i="25" s="1"/>
  <c r="C44" i="2"/>
  <c r="C45" i="2"/>
  <c r="Z79" i="25" s="1"/>
  <c r="C46" i="2"/>
  <c r="Z80" i="25" s="1"/>
  <c r="C47" i="2"/>
  <c r="Z81" i="25" s="1"/>
  <c r="C48" i="2"/>
  <c r="Z82" i="25" s="1"/>
  <c r="C49" i="2"/>
  <c r="Z83" i="25" s="1"/>
  <c r="C50" i="2"/>
  <c r="Z91" i="25" s="1"/>
  <c r="C51" i="2"/>
  <c r="Z84" i="25" s="1"/>
  <c r="C52" i="2"/>
  <c r="Z85" i="25" s="1"/>
  <c r="C53" i="2"/>
  <c r="Z86" i="25" s="1"/>
  <c r="C54" i="2"/>
  <c r="Z87" i="25" s="1"/>
  <c r="C55" i="2"/>
  <c r="Z88" i="25" s="1"/>
  <c r="C56" i="2"/>
  <c r="Z89" i="25" s="1"/>
  <c r="C57" i="2"/>
  <c r="Z90" i="25" s="1"/>
  <c r="E39" i="2" l="1"/>
  <c r="E57" i="2"/>
  <c r="E42" i="2"/>
  <c r="E47" i="2"/>
  <c r="E53" i="2"/>
  <c r="E46" i="2"/>
  <c r="E56" i="2"/>
  <c r="E52" i="2"/>
  <c r="E49" i="2"/>
  <c r="E45" i="2"/>
  <c r="E41" i="2"/>
  <c r="E54" i="2"/>
  <c r="E43" i="2"/>
  <c r="E50" i="2"/>
  <c r="E55" i="2"/>
  <c r="E51" i="2"/>
  <c r="E48" i="2"/>
  <c r="E44" i="2"/>
  <c r="E40" i="2"/>
  <c r="C152" i="2" l="1"/>
  <c r="C151" i="2"/>
  <c r="E73" i="2"/>
  <c r="E71" i="2"/>
  <c r="C68" i="2"/>
  <c r="C63" i="2"/>
  <c r="C59" i="2"/>
  <c r="Z98" i="25" s="1"/>
  <c r="C38" i="2"/>
  <c r="C37" i="2"/>
  <c r="C36" i="2"/>
  <c r="Z71" i="25" s="1"/>
  <c r="C35" i="2"/>
  <c r="Z70" i="25" s="1"/>
  <c r="C34" i="2"/>
  <c r="Z69" i="25" s="1"/>
  <c r="C33" i="2"/>
  <c r="Z68" i="25" s="1"/>
  <c r="C29" i="2"/>
  <c r="V77" i="25" s="1"/>
  <c r="C28" i="2"/>
  <c r="V76" i="25" s="1"/>
  <c r="C26" i="2"/>
  <c r="V75" i="25" s="1"/>
  <c r="C25" i="2"/>
  <c r="V74" i="25" s="1"/>
  <c r="C24" i="2"/>
  <c r="V73" i="25" s="1"/>
  <c r="C21" i="2"/>
  <c r="V71" i="25" s="1"/>
  <c r="C20" i="2"/>
  <c r="V70" i="25" s="1"/>
  <c r="C19" i="2"/>
  <c r="V69" i="25" s="1"/>
  <c r="Z72" i="25" l="1"/>
  <c r="E63" i="2"/>
  <c r="Z92" i="25"/>
  <c r="E64" i="2"/>
  <c r="Z93" i="25"/>
  <c r="E68" i="2"/>
  <c r="Z94" i="25"/>
  <c r="E37" i="2"/>
  <c r="E34" i="2"/>
  <c r="E38" i="2"/>
  <c r="E58" i="2"/>
  <c r="E33" i="2"/>
  <c r="E35" i="2"/>
  <c r="E36" i="2"/>
  <c r="E59" i="2"/>
  <c r="C51" i="20"/>
  <c r="D63" i="8"/>
  <c r="C18" i="2"/>
  <c r="V68" i="25" s="1"/>
  <c r="V100" i="25" s="1"/>
  <c r="AM70" i="25" s="1"/>
  <c r="A35" i="21"/>
  <c r="D34" i="21"/>
  <c r="D33" i="21"/>
  <c r="D32" i="21"/>
  <c r="D31" i="21"/>
  <c r="D30" i="21"/>
  <c r="D29" i="21"/>
  <c r="D28" i="21"/>
  <c r="A24" i="21"/>
  <c r="E23" i="21"/>
  <c r="E22" i="21"/>
  <c r="E21" i="21"/>
  <c r="E20" i="21"/>
  <c r="E19" i="21"/>
  <c r="E18" i="21"/>
  <c r="E17" i="21"/>
  <c r="A13" i="21"/>
  <c r="D12" i="21"/>
  <c r="D11" i="21"/>
  <c r="D10" i="21"/>
  <c r="D9" i="21"/>
  <c r="A2" i="21"/>
  <c r="D2" i="20"/>
  <c r="C73" i="20"/>
  <c r="C76" i="20"/>
  <c r="C44" i="20"/>
  <c r="C45" i="20"/>
  <c r="D48" i="20"/>
  <c r="C49" i="20"/>
  <c r="C50" i="20"/>
  <c r="C43" i="20"/>
  <c r="C34" i="20"/>
  <c r="C33" i="20"/>
  <c r="B26" i="11"/>
  <c r="E24" i="21" l="1"/>
  <c r="E8" i="20" s="1"/>
  <c r="D35" i="21"/>
  <c r="E9" i="20" s="1"/>
  <c r="D13" i="21"/>
  <c r="E7" i="20" s="1"/>
  <c r="Q51" i="8"/>
  <c r="P51" i="8"/>
  <c r="O51" i="8"/>
  <c r="N51" i="8"/>
  <c r="M51" i="8"/>
  <c r="L51" i="8"/>
  <c r="K51" i="8"/>
  <c r="J51" i="8"/>
  <c r="I51" i="8"/>
  <c r="H51" i="8"/>
  <c r="G51" i="8"/>
  <c r="F51" i="8"/>
  <c r="D51" i="8"/>
  <c r="D88" i="8" s="1"/>
  <c r="D206" i="8" s="1"/>
  <c r="E71" i="8"/>
  <c r="E73" i="8"/>
  <c r="Q228" i="8" s="1"/>
  <c r="P238" i="8" l="1"/>
  <c r="O238" i="8"/>
  <c r="N238" i="8"/>
  <c r="M238" i="8"/>
  <c r="L238" i="8"/>
  <c r="K238" i="8"/>
  <c r="J238" i="8"/>
  <c r="I238" i="8"/>
  <c r="H238" i="8"/>
  <c r="G238" i="8"/>
  <c r="F238" i="8"/>
  <c r="Q237" i="8"/>
  <c r="O237" i="8"/>
  <c r="N237" i="8"/>
  <c r="M237" i="8"/>
  <c r="L237" i="8"/>
  <c r="K237" i="8"/>
  <c r="J237" i="8"/>
  <c r="I237" i="8"/>
  <c r="H237" i="8"/>
  <c r="G237" i="8"/>
  <c r="F237" i="8"/>
  <c r="P235" i="8"/>
  <c r="O235" i="8"/>
  <c r="N235" i="8"/>
  <c r="M235" i="8"/>
  <c r="L235" i="8"/>
  <c r="K235" i="8"/>
  <c r="J235" i="8"/>
  <c r="I235" i="8"/>
  <c r="H235" i="8"/>
  <c r="G235" i="8"/>
  <c r="F235" i="8"/>
  <c r="F225" i="8" s="1"/>
  <c r="D238" i="8"/>
  <c r="D235" i="8"/>
  <c r="H225" i="8" l="1"/>
  <c r="C27" i="2"/>
  <c r="K225" i="8"/>
  <c r="I225" i="8"/>
  <c r="M225" i="8"/>
  <c r="J225" i="8"/>
  <c r="G225" i="8"/>
  <c r="P225" i="8"/>
  <c r="C148" i="2"/>
  <c r="E237" i="8"/>
  <c r="J15" i="19"/>
  <c r="J13" i="19"/>
  <c r="P14" i="19"/>
  <c r="P15" i="19"/>
  <c r="P13" i="19"/>
  <c r="D125" i="8" l="1"/>
  <c r="E48" i="8"/>
  <c r="E47" i="8"/>
  <c r="E43" i="8"/>
  <c r="E42" i="8"/>
  <c r="E41" i="8"/>
  <c r="E40" i="8"/>
  <c r="E39" i="8"/>
  <c r="E37" i="8"/>
  <c r="E36" i="8"/>
  <c r="E35" i="8"/>
  <c r="E34" i="8"/>
  <c r="E33" i="8"/>
  <c r="E32" i="8"/>
  <c r="E31" i="8"/>
  <c r="E30" i="8"/>
  <c r="E27" i="8"/>
  <c r="E26" i="8"/>
  <c r="E25" i="8"/>
  <c r="E70" i="8"/>
  <c r="E17" i="8"/>
  <c r="D26" i="2" s="1"/>
  <c r="E16" i="8"/>
  <c r="D25" i="2" s="1"/>
  <c r="E15" i="8"/>
  <c r="D24" i="2" s="1"/>
  <c r="E14" i="8"/>
  <c r="Q234" i="8" l="1"/>
  <c r="Q238" i="8" s="1"/>
  <c r="E238" i="8" s="1"/>
  <c r="D42" i="2"/>
  <c r="D39" i="2"/>
  <c r="L106" i="13"/>
  <c r="D51" i="2"/>
  <c r="L104" i="13"/>
  <c r="D34" i="2"/>
  <c r="L87" i="13"/>
  <c r="D40" i="2"/>
  <c r="L107" i="13"/>
  <c r="D44" i="2"/>
  <c r="L109" i="13"/>
  <c r="D49" i="2"/>
  <c r="L111" i="13"/>
  <c r="D56" i="2"/>
  <c r="L93" i="13"/>
  <c r="D35" i="2"/>
  <c r="L88" i="13"/>
  <c r="D41" i="2"/>
  <c r="L108" i="13"/>
  <c r="D45" i="2"/>
  <c r="L94" i="13"/>
  <c r="D50" i="2"/>
  <c r="L112" i="13"/>
  <c r="D57" i="2"/>
  <c r="L98" i="13"/>
  <c r="D43" i="2"/>
  <c r="L101" i="13"/>
  <c r="D48" i="2"/>
  <c r="L110" i="13"/>
  <c r="D36" i="2"/>
  <c r="L92" i="13"/>
  <c r="L99" i="13"/>
  <c r="D46" i="2"/>
  <c r="L102" i="13"/>
  <c r="L113" i="13"/>
  <c r="D155" i="2"/>
  <c r="E101" i="8"/>
  <c r="E100" i="8"/>
  <c r="E99" i="8"/>
  <c r="F43" i="2" l="1"/>
  <c r="L43" i="2"/>
  <c r="M43" i="2"/>
  <c r="F41" i="2"/>
  <c r="M41" i="2"/>
  <c r="L41" i="2"/>
  <c r="F44" i="2"/>
  <c r="L44" i="2"/>
  <c r="M44" i="2"/>
  <c r="F42" i="2"/>
  <c r="L42" i="2"/>
  <c r="M42" i="2"/>
  <c r="F50" i="2"/>
  <c r="M50" i="2"/>
  <c r="L50" i="2"/>
  <c r="F48" i="2"/>
  <c r="L48" i="2"/>
  <c r="M48" i="2"/>
  <c r="F49" i="2"/>
  <c r="L49" i="2"/>
  <c r="M49" i="2"/>
  <c r="F51" i="2"/>
  <c r="M51" i="2"/>
  <c r="L51" i="2"/>
  <c r="F56" i="2"/>
  <c r="M56" i="2"/>
  <c r="L56" i="2"/>
  <c r="F57" i="2"/>
  <c r="M57" i="2"/>
  <c r="L57" i="2"/>
  <c r="F45" i="2"/>
  <c r="L45" i="2"/>
  <c r="M45" i="2"/>
  <c r="F46" i="2"/>
  <c r="L46" i="2"/>
  <c r="M46" i="2"/>
  <c r="F35" i="2"/>
  <c r="L35" i="2"/>
  <c r="M35" i="2"/>
  <c r="F40" i="2"/>
  <c r="M40" i="2"/>
  <c r="L40" i="2"/>
  <c r="F36" i="2"/>
  <c r="L36" i="2"/>
  <c r="M36" i="2"/>
  <c r="F39" i="2"/>
  <c r="L39" i="2"/>
  <c r="M39" i="2"/>
  <c r="F34" i="2"/>
  <c r="M34" i="2"/>
  <c r="L34" i="2"/>
  <c r="E55" i="8"/>
  <c r="E13" i="8"/>
  <c r="D21" i="2" s="1"/>
  <c r="D22" i="2"/>
  <c r="D63" i="2" l="1"/>
  <c r="F63" i="2" s="1"/>
  <c r="L117" i="13"/>
  <c r="B43" i="12"/>
  <c r="A43" i="12"/>
  <c r="AE42" i="12"/>
  <c r="AB42" i="12"/>
  <c r="W42" i="12"/>
  <c r="V42" i="12"/>
  <c r="U42" i="12"/>
  <c r="T42" i="12"/>
  <c r="R42" i="12"/>
  <c r="Q42" i="12"/>
  <c r="P42" i="12"/>
  <c r="O42" i="12"/>
  <c r="N42" i="12"/>
  <c r="L42" i="12"/>
  <c r="H42" i="12"/>
  <c r="K42" i="12" s="1"/>
  <c r="A42" i="12"/>
  <c r="AE41" i="12"/>
  <c r="AB41" i="12"/>
  <c r="W41" i="12"/>
  <c r="V41" i="12"/>
  <c r="U41" i="12"/>
  <c r="T41" i="12"/>
  <c r="R41" i="12"/>
  <c r="Q41" i="12"/>
  <c r="P41" i="12"/>
  <c r="O41" i="12"/>
  <c r="N41" i="12"/>
  <c r="L41" i="12"/>
  <c r="H41" i="12"/>
  <c r="K41" i="12" s="1"/>
  <c r="A41" i="12"/>
  <c r="AE40" i="12"/>
  <c r="AB40" i="12"/>
  <c r="W40" i="12"/>
  <c r="V40" i="12"/>
  <c r="U40" i="12"/>
  <c r="T40" i="12"/>
  <c r="R40" i="12"/>
  <c r="Q40" i="12"/>
  <c r="P40" i="12"/>
  <c r="O40" i="12"/>
  <c r="N40" i="12"/>
  <c r="L40" i="12"/>
  <c r="H40" i="12"/>
  <c r="K40" i="12" s="1"/>
  <c r="A40" i="12"/>
  <c r="Q39" i="12"/>
  <c r="L39" i="12"/>
  <c r="H39" i="12"/>
  <c r="P39" i="12" s="1"/>
  <c r="A39" i="12"/>
  <c r="AH42" i="12" l="1"/>
  <c r="AF42" i="12"/>
  <c r="AH40" i="12"/>
  <c r="AF40" i="12"/>
  <c r="AH41" i="12"/>
  <c r="AF41" i="12"/>
  <c r="O39" i="12"/>
  <c r="K39" i="12"/>
  <c r="B12" i="11"/>
  <c r="C9" i="20" s="1"/>
  <c r="B11" i="11"/>
  <c r="C8" i="20" s="1"/>
  <c r="B10" i="11"/>
  <c r="C7" i="20" s="1"/>
  <c r="A37" i="18"/>
  <c r="E25" i="18"/>
  <c r="E24" i="18"/>
  <c r="E23" i="18"/>
  <c r="E22" i="18"/>
  <c r="E21" i="18"/>
  <c r="E20" i="18"/>
  <c r="E19" i="18"/>
  <c r="D36" i="18"/>
  <c r="D35" i="18"/>
  <c r="D34" i="18"/>
  <c r="D33" i="18"/>
  <c r="D32" i="18"/>
  <c r="D31" i="18"/>
  <c r="D30" i="18"/>
  <c r="A26" i="18"/>
  <c r="E14" i="18"/>
  <c r="E13" i="18"/>
  <c r="E12" i="18"/>
  <c r="E11" i="18"/>
  <c r="E10" i="18"/>
  <c r="E9" i="18"/>
  <c r="E8" i="18"/>
  <c r="A15" i="18"/>
  <c r="A2" i="18"/>
  <c r="AD39" i="12" l="1"/>
  <c r="R39" i="12"/>
  <c r="T39" i="12" s="1"/>
  <c r="U39" i="12" s="1"/>
  <c r="E26" i="18"/>
  <c r="D37" i="18"/>
  <c r="E15" i="18"/>
  <c r="E80" i="24" s="1"/>
  <c r="Y104" i="25" s="1"/>
  <c r="Z104" i="25" s="1"/>
  <c r="E84" i="24" l="1"/>
  <c r="Y108" i="25" s="1"/>
  <c r="Z108" i="25" s="1"/>
  <c r="F23" i="25"/>
  <c r="H23" i="25" s="1"/>
  <c r="F22" i="23"/>
  <c r="H22" i="23" s="1"/>
  <c r="C11" i="11"/>
  <c r="D8" i="20" s="1"/>
  <c r="E81" i="24"/>
  <c r="Y105" i="25" s="1"/>
  <c r="Z105" i="25" s="1"/>
  <c r="F19" i="25"/>
  <c r="H19" i="25" s="1"/>
  <c r="F19" i="23"/>
  <c r="H19" i="23" s="1"/>
  <c r="F18" i="23"/>
  <c r="H18" i="23" s="1"/>
  <c r="F18" i="25"/>
  <c r="H18" i="25" s="1"/>
  <c r="Q239" i="8"/>
  <c r="C12" i="11"/>
  <c r="D9" i="20" s="1"/>
  <c r="W39" i="12"/>
  <c r="V39" i="12"/>
  <c r="C10" i="11"/>
  <c r="D7" i="20" s="1"/>
  <c r="N39" i="12"/>
  <c r="AB39" i="12" s="1"/>
  <c r="K30" i="14" s="1"/>
  <c r="A74" i="12"/>
  <c r="A73" i="12"/>
  <c r="A72" i="12"/>
  <c r="A71" i="12"/>
  <c r="A66" i="12"/>
  <c r="A65" i="12"/>
  <c r="A64" i="12"/>
  <c r="A63" i="12"/>
  <c r="A58" i="12"/>
  <c r="A57" i="12"/>
  <c r="A56" i="12"/>
  <c r="A55" i="12"/>
  <c r="A50" i="12"/>
  <c r="A49" i="12"/>
  <c r="A48" i="12"/>
  <c r="A47" i="12"/>
  <c r="R74" i="12"/>
  <c r="R73" i="12"/>
  <c r="R72" i="12"/>
  <c r="R71" i="12"/>
  <c r="R66" i="12"/>
  <c r="R65" i="12"/>
  <c r="R64" i="12"/>
  <c r="R58" i="12"/>
  <c r="R57" i="12"/>
  <c r="R56" i="12"/>
  <c r="R50" i="12"/>
  <c r="R49" i="12"/>
  <c r="R48" i="12"/>
  <c r="B51" i="12"/>
  <c r="A51" i="12"/>
  <c r="AE50" i="12"/>
  <c r="AB50" i="12"/>
  <c r="W50" i="12"/>
  <c r="V50" i="12"/>
  <c r="U50" i="12"/>
  <c r="T50" i="12"/>
  <c r="Q50" i="12"/>
  <c r="P50" i="12"/>
  <c r="O50" i="12"/>
  <c r="N50" i="12"/>
  <c r="L50" i="12"/>
  <c r="H50" i="12"/>
  <c r="K50" i="12" s="1"/>
  <c r="AE49" i="12"/>
  <c r="AB49" i="12"/>
  <c r="W49" i="12"/>
  <c r="V49" i="12"/>
  <c r="U49" i="12"/>
  <c r="T49" i="12"/>
  <c r="Q49" i="12"/>
  <c r="P49" i="12"/>
  <c r="O49" i="12"/>
  <c r="N49" i="12"/>
  <c r="L49" i="12"/>
  <c r="H49" i="12"/>
  <c r="K49" i="12" s="1"/>
  <c r="AE48" i="12"/>
  <c r="AB48" i="12"/>
  <c r="W48" i="12"/>
  <c r="V48" i="12"/>
  <c r="U48" i="12"/>
  <c r="T48" i="12"/>
  <c r="Q48" i="12"/>
  <c r="P48" i="12"/>
  <c r="O48" i="12"/>
  <c r="N48" i="12"/>
  <c r="L48" i="12"/>
  <c r="H48" i="12"/>
  <c r="K48" i="12" s="1"/>
  <c r="Q47" i="12"/>
  <c r="L47" i="12"/>
  <c r="H47" i="12"/>
  <c r="K47" i="12" s="1"/>
  <c r="D239" i="8" l="1"/>
  <c r="AH49" i="12"/>
  <c r="AF49" i="12"/>
  <c r="AH48" i="12"/>
  <c r="AF48" i="12"/>
  <c r="AH50" i="12"/>
  <c r="AF50" i="12"/>
  <c r="AE39" i="12"/>
  <c r="N26" i="14"/>
  <c r="N24" i="14"/>
  <c r="I22" i="14"/>
  <c r="Q29" i="14"/>
  <c r="P25" i="14"/>
  <c r="N19" i="14"/>
  <c r="H30" i="14"/>
  <c r="O20" i="14"/>
  <c r="Q25" i="14"/>
  <c r="O23" i="14"/>
  <c r="K22" i="14"/>
  <c r="H20" i="14"/>
  <c r="N25" i="14"/>
  <c r="J21" i="14"/>
  <c r="K29" i="14"/>
  <c r="J26" i="14"/>
  <c r="P24" i="14"/>
  <c r="H19" i="14"/>
  <c r="H29" i="14"/>
  <c r="J28" i="14"/>
  <c r="Q24" i="14"/>
  <c r="O30" i="14"/>
  <c r="I27" i="14"/>
  <c r="I29" i="14"/>
  <c r="I19" i="14"/>
  <c r="N27" i="14"/>
  <c r="H27" i="14"/>
  <c r="N22" i="14"/>
  <c r="H26" i="14"/>
  <c r="N21" i="14"/>
  <c r="H25" i="14"/>
  <c r="N20" i="14"/>
  <c r="J20" i="14"/>
  <c r="Q23" i="14"/>
  <c r="J29" i="14"/>
  <c r="K23" i="14"/>
  <c r="I26" i="14"/>
  <c r="I30" i="14"/>
  <c r="Q26" i="14"/>
  <c r="O21" i="14"/>
  <c r="O24" i="14"/>
  <c r="O27" i="14"/>
  <c r="J30" i="14"/>
  <c r="I21" i="14"/>
  <c r="I23" i="14"/>
  <c r="O25" i="14"/>
  <c r="P27" i="14"/>
  <c r="P29" i="14"/>
  <c r="H28" i="14"/>
  <c r="N23" i="14"/>
  <c r="H23" i="14"/>
  <c r="P19" i="14"/>
  <c r="H22" i="14"/>
  <c r="Q19" i="14"/>
  <c r="H21" i="14"/>
  <c r="Q20" i="14"/>
  <c r="P20" i="14"/>
  <c r="I25" i="14"/>
  <c r="Q30" i="14"/>
  <c r="K24" i="14"/>
  <c r="K27" i="14"/>
  <c r="Q21" i="14"/>
  <c r="J27" i="14"/>
  <c r="O22" i="14"/>
  <c r="K25" i="14"/>
  <c r="O28" i="14"/>
  <c r="Q22" i="14"/>
  <c r="P21" i="14"/>
  <c r="P23" i="14"/>
  <c r="P26" i="14"/>
  <c r="I28" i="14"/>
  <c r="P30" i="14"/>
  <c r="H24" i="14"/>
  <c r="O19" i="14"/>
  <c r="N30" i="14"/>
  <c r="K19" i="14"/>
  <c r="N29" i="14"/>
  <c r="J19" i="14"/>
  <c r="N28" i="14"/>
  <c r="I20" i="14"/>
  <c r="K20" i="14"/>
  <c r="Q27" i="14"/>
  <c r="K21" i="14"/>
  <c r="J25" i="14"/>
  <c r="K28" i="14"/>
  <c r="J23" i="14"/>
  <c r="Q28" i="14"/>
  <c r="J22" i="14"/>
  <c r="O26" i="14"/>
  <c r="O29" i="14"/>
  <c r="J24" i="14"/>
  <c r="P22" i="14"/>
  <c r="I24" i="14"/>
  <c r="K26" i="14"/>
  <c r="P28" i="14"/>
  <c r="AE43" i="12"/>
  <c r="G28" i="11" s="1"/>
  <c r="D51" i="20" s="1"/>
  <c r="AD43" i="12"/>
  <c r="R47" i="12"/>
  <c r="T47" i="12" s="1"/>
  <c r="U47" i="12" s="1"/>
  <c r="P47" i="12"/>
  <c r="O47" i="12"/>
  <c r="AC47" i="12" s="1"/>
  <c r="X47" i="12" s="1"/>
  <c r="H74" i="12"/>
  <c r="H73" i="12"/>
  <c r="H72" i="12"/>
  <c r="H71" i="12"/>
  <c r="H66" i="12"/>
  <c r="H65" i="12"/>
  <c r="H64" i="12"/>
  <c r="H63" i="12"/>
  <c r="H58" i="12"/>
  <c r="H57" i="12"/>
  <c r="H56" i="12"/>
  <c r="H55" i="12"/>
  <c r="H34" i="12"/>
  <c r="H33" i="12"/>
  <c r="H32" i="12"/>
  <c r="H31" i="12"/>
  <c r="H26" i="12"/>
  <c r="H25" i="12"/>
  <c r="H24" i="12"/>
  <c r="H23" i="12"/>
  <c r="H18" i="12"/>
  <c r="H17" i="12"/>
  <c r="H15" i="12"/>
  <c r="AB74" i="12"/>
  <c r="AB73" i="12"/>
  <c r="AB72" i="12"/>
  <c r="AB66" i="12"/>
  <c r="AB65" i="12"/>
  <c r="AB64" i="12"/>
  <c r="AB58" i="12"/>
  <c r="AB57" i="12"/>
  <c r="AB34" i="12"/>
  <c r="AB33" i="12"/>
  <c r="AB32" i="12"/>
  <c r="AB26" i="12"/>
  <c r="AB25" i="12"/>
  <c r="AB24" i="12"/>
  <c r="AB23" i="12"/>
  <c r="H16" i="12"/>
  <c r="AD47" i="12" l="1"/>
  <c r="Y47" i="12"/>
  <c r="W47" i="12" s="1"/>
  <c r="D30" i="14"/>
  <c r="E24" i="14"/>
  <c r="AH39" i="12"/>
  <c r="AF39" i="12"/>
  <c r="E27" i="14"/>
  <c r="E30" i="14"/>
  <c r="E22" i="14"/>
  <c r="D29" i="14"/>
  <c r="E21" i="14"/>
  <c r="D23" i="14"/>
  <c r="D19" i="14"/>
  <c r="D21" i="14"/>
  <c r="E19" i="14"/>
  <c r="E20" i="14"/>
  <c r="E26" i="14"/>
  <c r="E29" i="14"/>
  <c r="D24" i="14"/>
  <c r="E23" i="14"/>
  <c r="D25" i="14"/>
  <c r="D27" i="14"/>
  <c r="D20" i="14"/>
  <c r="E25" i="14"/>
  <c r="E28" i="14"/>
  <c r="D22" i="14"/>
  <c r="D28" i="14"/>
  <c r="D26" i="14"/>
  <c r="AI39" i="12"/>
  <c r="AI43" i="12" s="1"/>
  <c r="E51" i="20" s="1"/>
  <c r="V47" i="12"/>
  <c r="D53" i="11"/>
  <c r="C77" i="20" s="1"/>
  <c r="D51" i="11"/>
  <c r="C75" i="20" s="1"/>
  <c r="D50" i="11"/>
  <c r="C74" i="20" s="1"/>
  <c r="D48" i="11"/>
  <c r="C72" i="20" s="1"/>
  <c r="D29" i="11"/>
  <c r="C52" i="20" s="1"/>
  <c r="D16" i="11"/>
  <c r="C39" i="20" s="1"/>
  <c r="D13" i="11"/>
  <c r="C38" i="20" s="1"/>
  <c r="D12" i="11"/>
  <c r="C37" i="20" s="1"/>
  <c r="D11" i="11"/>
  <c r="C36" i="20" s="1"/>
  <c r="D10" i="11"/>
  <c r="C35" i="20" s="1"/>
  <c r="B56" i="11"/>
  <c r="C68" i="20" s="1"/>
  <c r="B55" i="11"/>
  <c r="C67" i="20" s="1"/>
  <c r="B54" i="11"/>
  <c r="C66" i="20" s="1"/>
  <c r="B53" i="11"/>
  <c r="C65" i="20" s="1"/>
  <c r="B52" i="11"/>
  <c r="C64" i="20" s="1"/>
  <c r="B51" i="11"/>
  <c r="C63" i="20" s="1"/>
  <c r="B50" i="11"/>
  <c r="C62" i="20" s="1"/>
  <c r="B49" i="11"/>
  <c r="C61" i="20" s="1"/>
  <c r="B48" i="11"/>
  <c r="C60" i="20" s="1"/>
  <c r="B16" i="11"/>
  <c r="C13" i="20" s="1"/>
  <c r="B9" i="11"/>
  <c r="C6" i="20" s="1"/>
  <c r="B15" i="11"/>
  <c r="C12" i="20" s="1"/>
  <c r="B14" i="11"/>
  <c r="C11" i="20" s="1"/>
  <c r="B13" i="11"/>
  <c r="C10" i="20" s="1"/>
  <c r="B8" i="11"/>
  <c r="C5" i="20" s="1"/>
  <c r="B29" i="11"/>
  <c r="C26" i="20" s="1"/>
  <c r="B28" i="11"/>
  <c r="C25" i="20" s="1"/>
  <c r="B27" i="11"/>
  <c r="C24" i="20" s="1"/>
  <c r="C23" i="20"/>
  <c r="B22" i="11"/>
  <c r="C19" i="20" s="1"/>
  <c r="C18" i="20"/>
  <c r="B20" i="11"/>
  <c r="C17" i="20" s="1"/>
  <c r="AE47" i="12" l="1"/>
  <c r="R34" i="12"/>
  <c r="R33" i="12"/>
  <c r="R32" i="12"/>
  <c r="R26" i="12"/>
  <c r="R25" i="12"/>
  <c r="R24" i="12"/>
  <c r="R23" i="12"/>
  <c r="AH47" i="12" l="1"/>
  <c r="AI47" i="12" s="1"/>
  <c r="AF47" i="12"/>
  <c r="AE51" i="12"/>
  <c r="G27" i="11" s="1"/>
  <c r="D50" i="20" s="1"/>
  <c r="AE10" i="12"/>
  <c r="AE9" i="12"/>
  <c r="AE8" i="12"/>
  <c r="AE7" i="12"/>
  <c r="AE6" i="12"/>
  <c r="AD10" i="12"/>
  <c r="AD9" i="12"/>
  <c r="X9" i="12" s="1"/>
  <c r="AD8" i="12"/>
  <c r="AD7" i="12"/>
  <c r="AD6" i="12"/>
  <c r="X10" i="12"/>
  <c r="X8" i="12"/>
  <c r="X7" i="12"/>
  <c r="L10" i="12"/>
  <c r="L9" i="12"/>
  <c r="L8" i="12"/>
  <c r="L7" i="12"/>
  <c r="L6" i="12"/>
  <c r="H10" i="12"/>
  <c r="H9" i="12"/>
  <c r="H8" i="12"/>
  <c r="H7" i="12"/>
  <c r="H6" i="12"/>
  <c r="H5" i="12"/>
  <c r="K18" i="12"/>
  <c r="K17" i="12"/>
  <c r="K16" i="12"/>
  <c r="L18" i="12"/>
  <c r="L17" i="12"/>
  <c r="L16" i="12"/>
  <c r="P18" i="12"/>
  <c r="P17" i="12"/>
  <c r="P16" i="12"/>
  <c r="Q18" i="12"/>
  <c r="Q17" i="12"/>
  <c r="Q16" i="12"/>
  <c r="AE74" i="12"/>
  <c r="AE73" i="12"/>
  <c r="AE72" i="12"/>
  <c r="AE66" i="12"/>
  <c r="AE65" i="12"/>
  <c r="AE64" i="12"/>
  <c r="AE58" i="12"/>
  <c r="AE57" i="12"/>
  <c r="AE34" i="12"/>
  <c r="AE33" i="12"/>
  <c r="AE32" i="12"/>
  <c r="AE26" i="12"/>
  <c r="AE25" i="12"/>
  <c r="AE24" i="12"/>
  <c r="AE23" i="12"/>
  <c r="W74" i="12"/>
  <c r="W73" i="12"/>
  <c r="W72" i="12"/>
  <c r="W66" i="12"/>
  <c r="W65" i="12"/>
  <c r="W64" i="12"/>
  <c r="W58" i="12"/>
  <c r="W57" i="12"/>
  <c r="W34" i="12"/>
  <c r="W33" i="12"/>
  <c r="W32" i="12"/>
  <c r="W26" i="12"/>
  <c r="W25" i="12"/>
  <c r="W24" i="12"/>
  <c r="W23" i="12"/>
  <c r="V74" i="12"/>
  <c r="V73" i="12"/>
  <c r="V72" i="12"/>
  <c r="V66" i="12"/>
  <c r="V65" i="12"/>
  <c r="V64" i="12"/>
  <c r="V58" i="12"/>
  <c r="V57" i="12"/>
  <c r="V34" i="12"/>
  <c r="V33" i="12"/>
  <c r="V32" i="12"/>
  <c r="V26" i="12"/>
  <c r="V25" i="12"/>
  <c r="V24" i="12"/>
  <c r="V23" i="12"/>
  <c r="U74" i="12"/>
  <c r="U73" i="12"/>
  <c r="U72" i="12"/>
  <c r="U66" i="12"/>
  <c r="U65" i="12"/>
  <c r="U64" i="12"/>
  <c r="U58" i="12"/>
  <c r="U57" i="12"/>
  <c r="U34" i="12"/>
  <c r="U33" i="12"/>
  <c r="U32" i="12"/>
  <c r="U26" i="12"/>
  <c r="U25" i="12"/>
  <c r="U24" i="12"/>
  <c r="U23" i="12"/>
  <c r="T74" i="12"/>
  <c r="T73" i="12"/>
  <c r="T72" i="12"/>
  <c r="T66" i="12"/>
  <c r="T65" i="12"/>
  <c r="T64" i="12"/>
  <c r="T58" i="12"/>
  <c r="T57" i="12"/>
  <c r="T34" i="12"/>
  <c r="T33" i="12"/>
  <c r="T32" i="12"/>
  <c r="T26" i="12"/>
  <c r="T25" i="12"/>
  <c r="T24" i="12"/>
  <c r="T23" i="12"/>
  <c r="Q74" i="12"/>
  <c r="Q73" i="12"/>
  <c r="Q72" i="12"/>
  <c r="Q71" i="12"/>
  <c r="Q66" i="12"/>
  <c r="Q65" i="12"/>
  <c r="Q64" i="12"/>
  <c r="Q63" i="12"/>
  <c r="Q58" i="12"/>
  <c r="Q57" i="12"/>
  <c r="Q56" i="12"/>
  <c r="T56" i="12" s="1"/>
  <c r="Q55" i="12"/>
  <c r="Q34" i="12"/>
  <c r="Q33" i="12"/>
  <c r="Q32" i="12"/>
  <c r="Q31" i="12"/>
  <c r="Q26" i="12"/>
  <c r="Q25" i="12"/>
  <c r="Q24" i="12"/>
  <c r="Q23" i="12"/>
  <c r="P74" i="12"/>
  <c r="P73" i="12"/>
  <c r="P72" i="12"/>
  <c r="P71" i="12"/>
  <c r="P66" i="12"/>
  <c r="P65" i="12"/>
  <c r="P64" i="12"/>
  <c r="P63" i="12"/>
  <c r="P58" i="12"/>
  <c r="P57" i="12"/>
  <c r="P56" i="12"/>
  <c r="P55" i="12"/>
  <c r="P34" i="12"/>
  <c r="P33" i="12"/>
  <c r="P32" i="12"/>
  <c r="P31" i="12"/>
  <c r="P26" i="12"/>
  <c r="P25" i="12"/>
  <c r="P24" i="12"/>
  <c r="P23" i="12"/>
  <c r="O74" i="12"/>
  <c r="O73" i="12"/>
  <c r="O72" i="12"/>
  <c r="O71" i="12"/>
  <c r="O66" i="12"/>
  <c r="O65" i="12"/>
  <c r="O64" i="12"/>
  <c r="O63" i="12"/>
  <c r="O58" i="12"/>
  <c r="O57" i="12"/>
  <c r="O34" i="12"/>
  <c r="O33" i="12"/>
  <c r="O32" i="12"/>
  <c r="O26" i="12"/>
  <c r="O25" i="12"/>
  <c r="O24" i="12"/>
  <c r="O23" i="12"/>
  <c r="N74" i="12"/>
  <c r="N73" i="12"/>
  <c r="N72" i="12"/>
  <c r="N66" i="12"/>
  <c r="N65" i="12"/>
  <c r="N64" i="12"/>
  <c r="N58" i="12"/>
  <c r="N57" i="12"/>
  <c r="N34" i="12"/>
  <c r="N33" i="12"/>
  <c r="N32" i="12"/>
  <c r="N26" i="12"/>
  <c r="N25" i="12"/>
  <c r="N24" i="12"/>
  <c r="N23" i="12"/>
  <c r="L74" i="12"/>
  <c r="L73" i="12"/>
  <c r="L72" i="12"/>
  <c r="L71" i="12"/>
  <c r="L66" i="12"/>
  <c r="L65" i="12"/>
  <c r="L64" i="12"/>
  <c r="L63" i="12"/>
  <c r="L58" i="12"/>
  <c r="L57" i="12"/>
  <c r="L56" i="12"/>
  <c r="L55" i="12"/>
  <c r="L34" i="12"/>
  <c r="L33" i="12"/>
  <c r="L32" i="12"/>
  <c r="L31" i="12"/>
  <c r="L26" i="12"/>
  <c r="L25" i="12"/>
  <c r="L24" i="12"/>
  <c r="L23" i="12"/>
  <c r="Q15" i="12"/>
  <c r="R63" i="12" l="1"/>
  <c r="AC71" i="12"/>
  <c r="AC63" i="12"/>
  <c r="O31" i="12"/>
  <c r="AC31" i="12" s="1"/>
  <c r="O56" i="12"/>
  <c r="AC56" i="12" s="1"/>
  <c r="X56" i="12" s="1"/>
  <c r="Y56" i="12"/>
  <c r="U56" i="12"/>
  <c r="AH34" i="12"/>
  <c r="O16" i="12"/>
  <c r="O17" i="12"/>
  <c r="AC17" i="12" s="1"/>
  <c r="O55" i="12"/>
  <c r="AC55" i="12" s="1"/>
  <c r="AD23" i="12"/>
  <c r="AH23" i="12" s="1"/>
  <c r="AH65" i="12"/>
  <c r="AF65" i="12"/>
  <c r="AH74" i="12"/>
  <c r="AF74" i="12"/>
  <c r="AF24" i="12"/>
  <c r="AH24" i="12"/>
  <c r="AF32" i="12"/>
  <c r="AH32" i="12"/>
  <c r="AH57" i="12"/>
  <c r="AF57" i="12"/>
  <c r="AH66" i="12"/>
  <c r="AF66" i="12"/>
  <c r="AF23" i="12"/>
  <c r="AF25" i="12"/>
  <c r="AH25" i="12"/>
  <c r="AF33" i="12"/>
  <c r="AH33" i="12"/>
  <c r="AH58" i="12"/>
  <c r="AF58" i="12"/>
  <c r="AH72" i="12"/>
  <c r="AF72" i="12"/>
  <c r="AF26" i="12"/>
  <c r="AH26" i="12"/>
  <c r="AH64" i="12"/>
  <c r="AF64" i="12"/>
  <c r="AH73" i="12"/>
  <c r="AF73" i="12"/>
  <c r="AI51" i="12"/>
  <c r="E50" i="20" s="1"/>
  <c r="O18" i="12"/>
  <c r="R55" i="12" l="1"/>
  <c r="T55" i="12" s="1"/>
  <c r="U55" i="12" s="1"/>
  <c r="AD56" i="12"/>
  <c r="AE56" i="12" s="1"/>
  <c r="V56" i="12"/>
  <c r="W56" i="12"/>
  <c r="AC16" i="12"/>
  <c r="AC18" i="12"/>
  <c r="X55" i="12" l="1"/>
  <c r="AD55" i="12" s="1"/>
  <c r="AE55" i="12" s="1"/>
  <c r="Y55" i="12"/>
  <c r="W55" i="12" s="1"/>
  <c r="AH56" i="12"/>
  <c r="AI56" i="12" s="1"/>
  <c r="AF56" i="12"/>
  <c r="K15" i="12"/>
  <c r="P15" i="12"/>
  <c r="G12" i="13"/>
  <c r="G11" i="13"/>
  <c r="G10" i="13"/>
  <c r="G9" i="13"/>
  <c r="G8" i="13"/>
  <c r="G7" i="13"/>
  <c r="G6" i="13"/>
  <c r="G5" i="13"/>
  <c r="G4" i="13"/>
  <c r="G13" i="13"/>
  <c r="G14" i="13"/>
  <c r="G15" i="13"/>
  <c r="L6" i="15"/>
  <c r="O6" i="15"/>
  <c r="L7" i="15"/>
  <c r="O7" i="15"/>
  <c r="L8" i="15"/>
  <c r="O8" i="15"/>
  <c r="P8" i="15"/>
  <c r="Q8" i="15"/>
  <c r="Z8" i="15"/>
  <c r="Y8" i="15" s="1"/>
  <c r="X8" i="15" s="1"/>
  <c r="L9" i="15"/>
  <c r="O9" i="15"/>
  <c r="P9" i="15"/>
  <c r="Q9" i="15"/>
  <c r="Z9" i="15"/>
  <c r="Y9" i="15" s="1"/>
  <c r="X9" i="15" s="1"/>
  <c r="L10" i="15"/>
  <c r="O10" i="15"/>
  <c r="L11" i="15"/>
  <c r="N11" i="15"/>
  <c r="O11" i="15"/>
  <c r="P11" i="15"/>
  <c r="Q11" i="15"/>
  <c r="R11" i="15"/>
  <c r="Z11" i="15"/>
  <c r="V55" i="12" l="1"/>
  <c r="N10" i="15"/>
  <c r="AA10" i="15" s="1"/>
  <c r="AD10" i="15" s="1"/>
  <c r="W9" i="15"/>
  <c r="W8" i="15"/>
  <c r="AJ22" i="15" s="1"/>
  <c r="N7" i="15"/>
  <c r="AA7" i="15" s="1"/>
  <c r="N9" i="15"/>
  <c r="V9" i="15" s="1"/>
  <c r="N8" i="15"/>
  <c r="AA8" i="15" s="1"/>
  <c r="AI22" i="15" s="1"/>
  <c r="N6" i="15"/>
  <c r="AA6" i="15" s="1"/>
  <c r="R8" i="15"/>
  <c r="AH55" i="12"/>
  <c r="AI55" i="12" s="1"/>
  <c r="AI59" i="12" s="1"/>
  <c r="E49" i="20" s="1"/>
  <c r="AF55" i="12"/>
  <c r="R9" i="15"/>
  <c r="S11" i="15"/>
  <c r="T11" i="15"/>
  <c r="V8" i="15" l="1"/>
  <c r="T8" i="15" s="1"/>
  <c r="U8" i="15"/>
  <c r="AB8" i="15" s="1"/>
  <c r="U10" i="15"/>
  <c r="AI23" i="15"/>
  <c r="T9" i="15"/>
  <c r="AA9" i="15"/>
  <c r="AI20" i="15" s="1"/>
  <c r="AC11" i="15"/>
  <c r="T21" i="15"/>
  <c r="T20" i="15"/>
  <c r="T13" i="15"/>
  <c r="S21" i="15"/>
  <c r="S20" i="15"/>
  <c r="S13" i="15"/>
  <c r="Q21" i="15"/>
  <c r="Q20" i="15"/>
  <c r="Q13" i="15"/>
  <c r="P21" i="15"/>
  <c r="P20" i="15"/>
  <c r="P13" i="15"/>
  <c r="AI21" i="15" l="1"/>
  <c r="S8" i="15"/>
  <c r="U9" i="15"/>
  <c r="AB9" i="15" s="1"/>
  <c r="AC8" i="15"/>
  <c r="M94" i="16"/>
  <c r="F94" i="16" s="1"/>
  <c r="M93" i="16"/>
  <c r="F93" i="16" s="1"/>
  <c r="M92" i="16"/>
  <c r="F92" i="16" s="1"/>
  <c r="M91" i="16"/>
  <c r="F91" i="16" s="1"/>
  <c r="M90" i="16"/>
  <c r="F90" i="16" s="1"/>
  <c r="M89" i="16"/>
  <c r="F89" i="16" s="1"/>
  <c r="M88" i="16"/>
  <c r="F88" i="16" s="1"/>
  <c r="M87" i="16"/>
  <c r="F87" i="16" s="1"/>
  <c r="M86" i="16"/>
  <c r="F86" i="16" s="1"/>
  <c r="M85" i="16"/>
  <c r="F85" i="16" s="1"/>
  <c r="M84" i="16"/>
  <c r="F84" i="16" s="1"/>
  <c r="M83" i="16"/>
  <c r="M78" i="16"/>
  <c r="F78" i="16" s="1"/>
  <c r="M77" i="16"/>
  <c r="F77" i="16" s="1"/>
  <c r="M76" i="16"/>
  <c r="F76" i="16" s="1"/>
  <c r="M75" i="16"/>
  <c r="F75" i="16" s="1"/>
  <c r="M74" i="16"/>
  <c r="F74" i="16" s="1"/>
  <c r="M73" i="16"/>
  <c r="F73" i="16" s="1"/>
  <c r="M72" i="16"/>
  <c r="F72" i="16" s="1"/>
  <c r="M71" i="16"/>
  <c r="F71" i="16" s="1"/>
  <c r="M70" i="16"/>
  <c r="F70" i="16" s="1"/>
  <c r="M69" i="16"/>
  <c r="F69" i="16" s="1"/>
  <c r="M68" i="16"/>
  <c r="M62" i="16"/>
  <c r="F62" i="16" s="1"/>
  <c r="Q154" i="8" s="1"/>
  <c r="M61" i="16"/>
  <c r="F61" i="16" s="1"/>
  <c r="P154" i="8" s="1"/>
  <c r="M60" i="16"/>
  <c r="F60" i="16" s="1"/>
  <c r="O154" i="8" s="1"/>
  <c r="M59" i="16"/>
  <c r="F59" i="16" s="1"/>
  <c r="N154" i="8" s="1"/>
  <c r="M58" i="16"/>
  <c r="F58" i="16" s="1"/>
  <c r="M154" i="8" s="1"/>
  <c r="M57" i="16"/>
  <c r="F57" i="16" s="1"/>
  <c r="L154" i="8" s="1"/>
  <c r="M56" i="16"/>
  <c r="F56" i="16" s="1"/>
  <c r="K154" i="8" s="1"/>
  <c r="M55" i="16"/>
  <c r="F55" i="16" s="1"/>
  <c r="J154" i="8" s="1"/>
  <c r="M54" i="16"/>
  <c r="F54" i="16" s="1"/>
  <c r="I154" i="8" s="1"/>
  <c r="M53" i="16"/>
  <c r="F53" i="16" s="1"/>
  <c r="H154" i="8" s="1"/>
  <c r="M52" i="16"/>
  <c r="F52" i="16" s="1"/>
  <c r="G154" i="8" s="1"/>
  <c r="M51" i="16"/>
  <c r="M46" i="16"/>
  <c r="F46" i="16" s="1"/>
  <c r="Q155" i="8" s="1"/>
  <c r="M45" i="16"/>
  <c r="F45" i="16" s="1"/>
  <c r="P155" i="8" s="1"/>
  <c r="M44" i="16"/>
  <c r="F44" i="16" s="1"/>
  <c r="O155" i="8" s="1"/>
  <c r="M43" i="16"/>
  <c r="F43" i="16" s="1"/>
  <c r="N155" i="8" s="1"/>
  <c r="M42" i="16"/>
  <c r="F42" i="16" s="1"/>
  <c r="M155" i="8" s="1"/>
  <c r="M41" i="16"/>
  <c r="F41" i="16" s="1"/>
  <c r="L155" i="8" s="1"/>
  <c r="M40" i="16"/>
  <c r="F40" i="16" s="1"/>
  <c r="K155" i="8" s="1"/>
  <c r="M39" i="16"/>
  <c r="F39" i="16" s="1"/>
  <c r="J155" i="8" s="1"/>
  <c r="M38" i="16"/>
  <c r="F38" i="16" s="1"/>
  <c r="I155" i="8" s="1"/>
  <c r="M37" i="16"/>
  <c r="F37" i="16" s="1"/>
  <c r="H155" i="8" s="1"/>
  <c r="M36" i="16"/>
  <c r="F36" i="16" s="1"/>
  <c r="G155" i="8" s="1"/>
  <c r="M35" i="16"/>
  <c r="M30" i="16"/>
  <c r="F30" i="16" s="1"/>
  <c r="Q139" i="8" s="1"/>
  <c r="M29" i="16"/>
  <c r="F29" i="16" s="1"/>
  <c r="P139" i="8" s="1"/>
  <c r="M28" i="16"/>
  <c r="F28" i="16" s="1"/>
  <c r="O139" i="8" s="1"/>
  <c r="M27" i="16"/>
  <c r="F27" i="16" s="1"/>
  <c r="N139" i="8" s="1"/>
  <c r="M26" i="16"/>
  <c r="F26" i="16" s="1"/>
  <c r="M139" i="8" s="1"/>
  <c r="M25" i="16"/>
  <c r="F25" i="16" s="1"/>
  <c r="L139" i="8" s="1"/>
  <c r="M24" i="16"/>
  <c r="F24" i="16" s="1"/>
  <c r="K139" i="8" s="1"/>
  <c r="M23" i="16"/>
  <c r="F23" i="16" s="1"/>
  <c r="J139" i="8" s="1"/>
  <c r="M22" i="16"/>
  <c r="F22" i="16" s="1"/>
  <c r="I139" i="8" s="1"/>
  <c r="M21" i="16"/>
  <c r="F21" i="16" s="1"/>
  <c r="H139" i="8" s="1"/>
  <c r="M20" i="16"/>
  <c r="F20" i="16" s="1"/>
  <c r="G139" i="8" s="1"/>
  <c r="M19" i="16"/>
  <c r="F19" i="16" s="1"/>
  <c r="M14" i="16"/>
  <c r="F14" i="16" s="1"/>
  <c r="Q84" i="8" s="1"/>
  <c r="M13" i="16"/>
  <c r="F13" i="16" s="1"/>
  <c r="P84" i="8" s="1"/>
  <c r="M12" i="16"/>
  <c r="F12" i="16" s="1"/>
  <c r="O84" i="8" s="1"/>
  <c r="M11" i="16"/>
  <c r="F11" i="16" s="1"/>
  <c r="N84" i="8" s="1"/>
  <c r="M10" i="16"/>
  <c r="F10" i="16" s="1"/>
  <c r="M84" i="8" s="1"/>
  <c r="M9" i="16"/>
  <c r="F9" i="16" s="1"/>
  <c r="L84" i="8" s="1"/>
  <c r="M8" i="16"/>
  <c r="F8" i="16" s="1"/>
  <c r="K84" i="8" s="1"/>
  <c r="M7" i="16"/>
  <c r="F7" i="16" s="1"/>
  <c r="J84" i="8" s="1"/>
  <c r="M6" i="16"/>
  <c r="F6" i="16" s="1"/>
  <c r="I84" i="8" s="1"/>
  <c r="M5" i="16"/>
  <c r="F5" i="16" s="1"/>
  <c r="H84" i="8" s="1"/>
  <c r="M4" i="16"/>
  <c r="F4" i="16" s="1"/>
  <c r="G84" i="8" s="1"/>
  <c r="M3" i="16"/>
  <c r="L12" i="15"/>
  <c r="L13" i="15"/>
  <c r="L20" i="15"/>
  <c r="L21" i="15"/>
  <c r="I10" i="12"/>
  <c r="I9" i="12"/>
  <c r="I8" i="12"/>
  <c r="I7" i="12"/>
  <c r="I6" i="12"/>
  <c r="I5" i="12"/>
  <c r="M5" i="12"/>
  <c r="L5" i="12"/>
  <c r="A26" i="5"/>
  <c r="M95" i="16" l="1"/>
  <c r="M47" i="16"/>
  <c r="M63" i="16"/>
  <c r="F68" i="16"/>
  <c r="M79" i="16"/>
  <c r="F3" i="16"/>
  <c r="M15" i="16"/>
  <c r="F139" i="8"/>
  <c r="F31" i="16"/>
  <c r="S9" i="15"/>
  <c r="AD8" i="15"/>
  <c r="AC9" i="15"/>
  <c r="Q5" i="12"/>
  <c r="O5" i="12" s="1"/>
  <c r="R7" i="12"/>
  <c r="T7" i="12"/>
  <c r="AB7" i="12"/>
  <c r="N7" i="12" s="1"/>
  <c r="S7" i="12" s="1"/>
  <c r="Q7" i="12"/>
  <c r="O7" i="12" s="1"/>
  <c r="AB8" i="12"/>
  <c r="N8" i="12" s="1"/>
  <c r="S8" i="12" s="1"/>
  <c r="Q8" i="12"/>
  <c r="O8" i="12" s="1"/>
  <c r="R8" i="12"/>
  <c r="T8" i="12"/>
  <c r="AB9" i="12"/>
  <c r="N9" i="12" s="1"/>
  <c r="S9" i="12" s="1"/>
  <c r="Q9" i="12"/>
  <c r="O9" i="12" s="1"/>
  <c r="T9" i="12"/>
  <c r="R9" i="12"/>
  <c r="T6" i="12"/>
  <c r="R6" i="12"/>
  <c r="AB6" i="12"/>
  <c r="N6" i="12" s="1"/>
  <c r="S6" i="12" s="1"/>
  <c r="Q6" i="12"/>
  <c r="T10" i="12"/>
  <c r="R10" i="12"/>
  <c r="AB10" i="12"/>
  <c r="N10" i="12" s="1"/>
  <c r="S10" i="12" s="1"/>
  <c r="Q10" i="12"/>
  <c r="O10" i="12" s="1"/>
  <c r="F83" i="16"/>
  <c r="F95" i="16" s="1"/>
  <c r="F67" i="16"/>
  <c r="F51" i="16"/>
  <c r="F63" i="16" s="1"/>
  <c r="F35" i="16"/>
  <c r="F47" i="16" s="1"/>
  <c r="A5" i="12"/>
  <c r="R5" i="12" s="1"/>
  <c r="O6" i="12" l="1"/>
  <c r="Z6" i="12" s="1"/>
  <c r="AC6" i="12" s="1"/>
  <c r="F79" i="16"/>
  <c r="F84" i="8"/>
  <c r="F15" i="16"/>
  <c r="AE8" i="15"/>
  <c r="AH8" i="15" s="1"/>
  <c r="AH22" i="15" s="1"/>
  <c r="AG8" i="15"/>
  <c r="AG22" i="15" s="1"/>
  <c r="AD9" i="15"/>
  <c r="T5" i="12"/>
  <c r="U8" i="12"/>
  <c r="W8" i="12" s="1"/>
  <c r="U9" i="12"/>
  <c r="V9" i="12" s="1"/>
  <c r="U10" i="12"/>
  <c r="V10" i="12" s="1"/>
  <c r="U6" i="12"/>
  <c r="U7" i="12"/>
  <c r="F154" i="8"/>
  <c r="E154" i="8" s="1"/>
  <c r="E214" i="8"/>
  <c r="E215" i="8" s="1"/>
  <c r="F155" i="8"/>
  <c r="E155" i="8" s="1"/>
  <c r="A7" i="15"/>
  <c r="P7" i="15" s="1"/>
  <c r="Q7" i="15" s="1"/>
  <c r="A8" i="15"/>
  <c r="A9" i="15"/>
  <c r="A10" i="15"/>
  <c r="P10" i="15" s="1"/>
  <c r="Q10" i="15" s="1"/>
  <c r="A11" i="15"/>
  <c r="A12" i="15"/>
  <c r="P12" i="15" s="1"/>
  <c r="A13" i="15"/>
  <c r="A14" i="15"/>
  <c r="A15" i="15"/>
  <c r="A6" i="15"/>
  <c r="P6" i="15" s="1"/>
  <c r="Q6" i="15" s="1"/>
  <c r="U6" i="15" s="1"/>
  <c r="O12" i="15"/>
  <c r="O13" i="15"/>
  <c r="N13" i="15" s="1"/>
  <c r="O20" i="15"/>
  <c r="N21" i="15"/>
  <c r="O21" i="15"/>
  <c r="R21" i="15"/>
  <c r="Z21" i="15"/>
  <c r="AC21" i="15"/>
  <c r="D152" i="2" l="1"/>
  <c r="Y6" i="12"/>
  <c r="W6" i="12" s="1"/>
  <c r="X6" i="12"/>
  <c r="V6" i="12" s="1"/>
  <c r="AE9" i="15"/>
  <c r="AH9" i="15" s="1"/>
  <c r="AG9" i="15"/>
  <c r="V7" i="15"/>
  <c r="U7" i="15"/>
  <c r="R10" i="15"/>
  <c r="AB10" i="15" s="1"/>
  <c r="Z10" i="15"/>
  <c r="Y10" i="15" s="1"/>
  <c r="X10" i="15" s="1"/>
  <c r="N12" i="15"/>
  <c r="U5" i="12"/>
  <c r="AB5" i="12"/>
  <c r="Q12" i="15"/>
  <c r="R12" i="15" s="1"/>
  <c r="V8" i="12"/>
  <c r="R7" i="15"/>
  <c r="W9" i="12"/>
  <c r="W10" i="12"/>
  <c r="V7" i="12"/>
  <c r="W7" i="12"/>
  <c r="R6" i="15"/>
  <c r="AB6" i="15" s="1"/>
  <c r="P22" i="16"/>
  <c r="P27" i="16"/>
  <c r="I19" i="16"/>
  <c r="I23" i="16"/>
  <c r="I28" i="16"/>
  <c r="I29" i="16"/>
  <c r="I27" i="16"/>
  <c r="P19" i="16"/>
  <c r="P23" i="16"/>
  <c r="P28" i="16"/>
  <c r="I20" i="16"/>
  <c r="I24" i="16"/>
  <c r="P30" i="16"/>
  <c r="P20" i="16"/>
  <c r="P24" i="16"/>
  <c r="P29" i="16"/>
  <c r="I21" i="16"/>
  <c r="I30" i="16"/>
  <c r="P21" i="16"/>
  <c r="I22" i="16"/>
  <c r="P25" i="16"/>
  <c r="J30" i="16"/>
  <c r="R29" i="16"/>
  <c r="J28" i="16"/>
  <c r="R27" i="16"/>
  <c r="J26" i="16"/>
  <c r="R25" i="16"/>
  <c r="L25" i="16"/>
  <c r="J24" i="16"/>
  <c r="R23" i="16"/>
  <c r="L23" i="16"/>
  <c r="J22" i="16"/>
  <c r="R21" i="16"/>
  <c r="L21" i="16"/>
  <c r="J20" i="16"/>
  <c r="R19" i="16"/>
  <c r="L19" i="16"/>
  <c r="Q28" i="16"/>
  <c r="S25" i="16"/>
  <c r="Q24" i="16"/>
  <c r="S21" i="16"/>
  <c r="Q20" i="16"/>
  <c r="Q29" i="16"/>
  <c r="Q27" i="16"/>
  <c r="K27" i="16"/>
  <c r="Q25" i="16"/>
  <c r="K25" i="16"/>
  <c r="S24" i="16"/>
  <c r="Q23" i="16"/>
  <c r="K23" i="16"/>
  <c r="S22" i="16"/>
  <c r="Q21" i="16"/>
  <c r="K21" i="16"/>
  <c r="S20" i="16"/>
  <c r="Q19" i="16"/>
  <c r="K19" i="16"/>
  <c r="Q30" i="16"/>
  <c r="Q26" i="16"/>
  <c r="K24" i="16"/>
  <c r="K22" i="16"/>
  <c r="S19" i="16"/>
  <c r="R30" i="16"/>
  <c r="J29" i="16"/>
  <c r="R28" i="16"/>
  <c r="J27" i="16"/>
  <c r="R26" i="16"/>
  <c r="J25" i="16"/>
  <c r="R24" i="16"/>
  <c r="L24" i="16"/>
  <c r="J23" i="16"/>
  <c r="R22" i="16"/>
  <c r="L22" i="16"/>
  <c r="J21" i="16"/>
  <c r="R20" i="16"/>
  <c r="L20" i="16"/>
  <c r="J19" i="16"/>
  <c r="K30" i="16"/>
  <c r="K28" i="16"/>
  <c r="S23" i="16"/>
  <c r="Q22" i="16"/>
  <c r="K20" i="16"/>
  <c r="N20" i="15"/>
  <c r="B22" i="15"/>
  <c r="R20" i="15"/>
  <c r="N5" i="12" l="1"/>
  <c r="S5" i="12" s="1"/>
  <c r="H88" i="14"/>
  <c r="D88" i="14" s="1"/>
  <c r="H92" i="14"/>
  <c r="D92" i="14" s="1"/>
  <c r="H96" i="14"/>
  <c r="D96" i="14" s="1"/>
  <c r="K93" i="14"/>
  <c r="E93" i="14" s="1"/>
  <c r="K89" i="14"/>
  <c r="E89" i="14" s="1"/>
  <c r="K85" i="14"/>
  <c r="H95" i="14"/>
  <c r="D95" i="14" s="1"/>
  <c r="H85" i="14"/>
  <c r="H89" i="14"/>
  <c r="D89" i="14" s="1"/>
  <c r="H93" i="14"/>
  <c r="D93" i="14" s="1"/>
  <c r="K96" i="14"/>
  <c r="E96" i="14" s="1"/>
  <c r="K92" i="14"/>
  <c r="E92" i="14" s="1"/>
  <c r="K88" i="14"/>
  <c r="E88" i="14" s="1"/>
  <c r="H91" i="14"/>
  <c r="D91" i="14" s="1"/>
  <c r="K94" i="14"/>
  <c r="E94" i="14" s="1"/>
  <c r="H90" i="14"/>
  <c r="D90" i="14" s="1"/>
  <c r="H94" i="14"/>
  <c r="D94" i="14" s="1"/>
  <c r="K95" i="14"/>
  <c r="E95" i="14" s="1"/>
  <c r="K91" i="14"/>
  <c r="E91" i="14" s="1"/>
  <c r="K87" i="14"/>
  <c r="E87" i="14" s="1"/>
  <c r="H87" i="14"/>
  <c r="D87" i="14" s="1"/>
  <c r="K90" i="14"/>
  <c r="E90" i="14" s="1"/>
  <c r="AB7" i="15"/>
  <c r="S10" i="15"/>
  <c r="AC10" i="15"/>
  <c r="AE10" i="15" s="1"/>
  <c r="W10" i="15"/>
  <c r="AJ23" i="15" s="1"/>
  <c r="V10" i="15"/>
  <c r="T10" i="15" s="1"/>
  <c r="V12" i="15"/>
  <c r="T12" i="15" s="1"/>
  <c r="AA12" i="15"/>
  <c r="AD12" i="15" s="1"/>
  <c r="AI25" i="15"/>
  <c r="H78" i="14"/>
  <c r="D78" i="14" s="1"/>
  <c r="H70" i="14"/>
  <c r="D70" i="14" s="1"/>
  <c r="K72" i="14"/>
  <c r="E72" i="14" s="1"/>
  <c r="K73" i="14"/>
  <c r="E73" i="14" s="1"/>
  <c r="H76" i="14"/>
  <c r="D76" i="14" s="1"/>
  <c r="H77" i="14"/>
  <c r="D77" i="14" s="1"/>
  <c r="K79" i="14"/>
  <c r="E79" i="14" s="1"/>
  <c r="K78" i="14"/>
  <c r="E78" i="14" s="1"/>
  <c r="K80" i="14"/>
  <c r="E80" i="14" s="1"/>
  <c r="H74" i="14"/>
  <c r="D74" i="14" s="1"/>
  <c r="H73" i="14"/>
  <c r="D73" i="14" s="1"/>
  <c r="K77" i="14"/>
  <c r="E77" i="14" s="1"/>
  <c r="H79" i="14"/>
  <c r="D79" i="14" s="1"/>
  <c r="H80" i="14"/>
  <c r="D80" i="14" s="1"/>
  <c r="H72" i="14"/>
  <c r="D72" i="14" s="1"/>
  <c r="K76" i="14"/>
  <c r="E76" i="14" s="1"/>
  <c r="S7" i="15"/>
  <c r="T7" i="15"/>
  <c r="S6" i="15"/>
  <c r="P26" i="16"/>
  <c r="D21" i="16"/>
  <c r="H137" i="8" s="1"/>
  <c r="D19" i="16"/>
  <c r="F137" i="8" s="1"/>
  <c r="S27" i="16"/>
  <c r="E27" i="16" s="1"/>
  <c r="N138" i="8" s="1"/>
  <c r="S28" i="16"/>
  <c r="E28" i="16" s="1"/>
  <c r="O138" i="8" s="1"/>
  <c r="S29" i="16"/>
  <c r="E29" i="16" s="1"/>
  <c r="P138" i="8" s="1"/>
  <c r="S26" i="16"/>
  <c r="S30" i="16"/>
  <c r="L26" i="16"/>
  <c r="L29" i="16"/>
  <c r="L27" i="16"/>
  <c r="D27" i="16" s="1"/>
  <c r="N137" i="8" s="1"/>
  <c r="L30" i="16"/>
  <c r="D30" i="16" s="1"/>
  <c r="Q137" i="8" s="1"/>
  <c r="K29" i="16"/>
  <c r="K26" i="16"/>
  <c r="D23" i="16"/>
  <c r="J137" i="8" s="1"/>
  <c r="I26" i="16"/>
  <c r="D20" i="16"/>
  <c r="G137" i="8" s="1"/>
  <c r="D24" i="16"/>
  <c r="K137" i="8" s="1"/>
  <c r="D22" i="16"/>
  <c r="I137" i="8" s="1"/>
  <c r="E24" i="16"/>
  <c r="K138" i="8" s="1"/>
  <c r="E22" i="16"/>
  <c r="I138" i="8" s="1"/>
  <c r="E19" i="16"/>
  <c r="F138" i="8" s="1"/>
  <c r="E21" i="16"/>
  <c r="H138" i="8" s="1"/>
  <c r="E23" i="16"/>
  <c r="J138" i="8" s="1"/>
  <c r="E25" i="16"/>
  <c r="L138" i="8" s="1"/>
  <c r="E20" i="16"/>
  <c r="G138" i="8" s="1"/>
  <c r="Q31" i="16"/>
  <c r="M31" i="16"/>
  <c r="J31" i="16"/>
  <c r="R31" i="16"/>
  <c r="R13" i="15"/>
  <c r="Z13" i="15"/>
  <c r="Z20" i="15"/>
  <c r="AC13" i="15"/>
  <c r="N140" i="8" l="1"/>
  <c r="G140" i="8"/>
  <c r="I140" i="8"/>
  <c r="J140" i="8"/>
  <c r="F140" i="8"/>
  <c r="K140" i="8"/>
  <c r="H140" i="8"/>
  <c r="E85" i="14"/>
  <c r="D85" i="14"/>
  <c r="AI24" i="15"/>
  <c r="U12" i="15"/>
  <c r="AH10" i="15"/>
  <c r="AG10" i="15"/>
  <c r="AG12" i="15"/>
  <c r="AG25" i="15" s="1"/>
  <c r="AC6" i="15"/>
  <c r="AC7" i="15"/>
  <c r="E26" i="16"/>
  <c r="M138" i="8" s="1"/>
  <c r="S31" i="16"/>
  <c r="K31" i="16"/>
  <c r="D29" i="16"/>
  <c r="P137" i="8" s="1"/>
  <c r="P140" i="8" s="1"/>
  <c r="E30" i="16"/>
  <c r="Q138" i="8" s="1"/>
  <c r="Q140" i="8" s="1"/>
  <c r="D26" i="16"/>
  <c r="M137" i="8" s="1"/>
  <c r="I25" i="16"/>
  <c r="D25" i="16" s="1"/>
  <c r="L137" i="8" s="1"/>
  <c r="L140" i="8" s="1"/>
  <c r="L28" i="16"/>
  <c r="P31" i="16"/>
  <c r="AC20" i="15"/>
  <c r="AD5" i="12"/>
  <c r="A67" i="12"/>
  <c r="T71" i="12"/>
  <c r="A59" i="12"/>
  <c r="T63" i="12"/>
  <c r="A34" i="12"/>
  <c r="A33" i="12"/>
  <c r="A32" i="12"/>
  <c r="A31" i="12"/>
  <c r="R31" i="12" s="1"/>
  <c r="T31" i="12" s="1"/>
  <c r="A26" i="12"/>
  <c r="A25" i="12"/>
  <c r="A24" i="12"/>
  <c r="A23" i="12"/>
  <c r="A15" i="12"/>
  <c r="A16" i="12"/>
  <c r="R16" i="12" s="1"/>
  <c r="T16" i="12" s="1"/>
  <c r="A17" i="12"/>
  <c r="A18" i="12"/>
  <c r="F15" i="13"/>
  <c r="F14" i="13"/>
  <c r="F13" i="13"/>
  <c r="F12" i="13"/>
  <c r="F11" i="13"/>
  <c r="F10" i="13"/>
  <c r="F9" i="13"/>
  <c r="F8" i="13"/>
  <c r="F7" i="13"/>
  <c r="F6" i="13"/>
  <c r="F5" i="13"/>
  <c r="F4" i="13"/>
  <c r="M140" i="8" l="1"/>
  <c r="Y71" i="12"/>
  <c r="X71" i="12"/>
  <c r="Y63" i="12"/>
  <c r="X63" i="12"/>
  <c r="U31" i="12"/>
  <c r="Y31" i="12"/>
  <c r="X31" i="12"/>
  <c r="Z12" i="15"/>
  <c r="S42" i="16" s="1"/>
  <c r="AD7" i="15"/>
  <c r="AE7" i="15" s="1"/>
  <c r="AH7" i="15" s="1"/>
  <c r="AD6" i="15"/>
  <c r="AB12" i="15"/>
  <c r="AC12" i="15" s="1"/>
  <c r="AE12" i="15" s="1"/>
  <c r="AH12" i="15" s="1"/>
  <c r="S12" i="15"/>
  <c r="L44" i="16" s="1"/>
  <c r="AG24" i="15"/>
  <c r="S44" i="16"/>
  <c r="L42" i="16"/>
  <c r="I46" i="16"/>
  <c r="K44" i="16"/>
  <c r="I40" i="16"/>
  <c r="K38" i="16"/>
  <c r="P35" i="16"/>
  <c r="Q43" i="16"/>
  <c r="I39" i="16"/>
  <c r="K42" i="16"/>
  <c r="J46" i="16"/>
  <c r="I37" i="16"/>
  <c r="K43" i="16"/>
  <c r="R36" i="16"/>
  <c r="I44" i="16"/>
  <c r="I38" i="16"/>
  <c r="P40" i="16"/>
  <c r="K46" i="16"/>
  <c r="S38" i="16"/>
  <c r="K45" i="16"/>
  <c r="R38" i="16"/>
  <c r="Q37" i="16"/>
  <c r="J42" i="16"/>
  <c r="P46" i="16"/>
  <c r="P45" i="16"/>
  <c r="R43" i="16"/>
  <c r="P39" i="16"/>
  <c r="R37" i="16"/>
  <c r="J35" i="16"/>
  <c r="R42" i="16"/>
  <c r="J38" i="16"/>
  <c r="Q40" i="16"/>
  <c r="R44" i="16"/>
  <c r="Q35" i="16"/>
  <c r="S39" i="16"/>
  <c r="I35" i="16"/>
  <c r="Q42" i="16"/>
  <c r="Q36" i="16"/>
  <c r="K39" i="16"/>
  <c r="J43" i="16"/>
  <c r="J37" i="16"/>
  <c r="P42" i="16"/>
  <c r="P36" i="16"/>
  <c r="R45" i="16"/>
  <c r="K40" i="16"/>
  <c r="J45" i="16"/>
  <c r="I42" i="16"/>
  <c r="J39" i="16"/>
  <c r="S36" i="16"/>
  <c r="R46" i="16"/>
  <c r="S41" i="16"/>
  <c r="K37" i="16"/>
  <c r="P37" i="16"/>
  <c r="J41" i="16"/>
  <c r="I45" i="16"/>
  <c r="P38" i="16"/>
  <c r="Q46" i="16"/>
  <c r="K41" i="16"/>
  <c r="Q45" i="16"/>
  <c r="S37" i="16"/>
  <c r="R41" i="16"/>
  <c r="R35" i="16"/>
  <c r="Q41" i="16"/>
  <c r="K35" i="16"/>
  <c r="Q44" i="16"/>
  <c r="S40" i="16"/>
  <c r="Q38" i="16"/>
  <c r="I36" i="16"/>
  <c r="P44" i="16"/>
  <c r="R40" i="16"/>
  <c r="S35" i="16"/>
  <c r="K36" i="16"/>
  <c r="Q39" i="16"/>
  <c r="J44" i="16"/>
  <c r="R39" i="16"/>
  <c r="J36" i="16"/>
  <c r="J40" i="16"/>
  <c r="P41" i="16"/>
  <c r="P43" i="16"/>
  <c r="S43" i="16"/>
  <c r="S45" i="16"/>
  <c r="L46" i="16"/>
  <c r="L39" i="16"/>
  <c r="S46" i="16"/>
  <c r="AG7" i="15"/>
  <c r="Y16" i="12"/>
  <c r="X16" i="12"/>
  <c r="I52" i="16"/>
  <c r="Y12" i="15"/>
  <c r="X12" i="15" s="1"/>
  <c r="W12" i="15" s="1"/>
  <c r="P57" i="16"/>
  <c r="S62" i="16"/>
  <c r="K60" i="16"/>
  <c r="I58" i="16"/>
  <c r="J55" i="16"/>
  <c r="L53" i="16"/>
  <c r="R62" i="16"/>
  <c r="J60" i="16"/>
  <c r="L58" i="16"/>
  <c r="L56" i="16"/>
  <c r="J54" i="16"/>
  <c r="S51" i="16"/>
  <c r="I60" i="16"/>
  <c r="L55" i="16"/>
  <c r="P62" i="16"/>
  <c r="P58" i="16"/>
  <c r="L54" i="16"/>
  <c r="Q62" i="16"/>
  <c r="J59" i="16"/>
  <c r="R55" i="16"/>
  <c r="K52" i="16"/>
  <c r="S59" i="16"/>
  <c r="J56" i="16"/>
  <c r="J52" i="16"/>
  <c r="P55" i="16"/>
  <c r="R58" i="16"/>
  <c r="L61" i="16"/>
  <c r="L60" i="16"/>
  <c r="P59" i="16"/>
  <c r="K61" i="16"/>
  <c r="I62" i="16"/>
  <c r="R59" i="16"/>
  <c r="S56" i="16"/>
  <c r="Q54" i="16"/>
  <c r="S52" i="16"/>
  <c r="L62" i="16"/>
  <c r="Q59" i="16"/>
  <c r="S57" i="16"/>
  <c r="S55" i="16"/>
  <c r="Q53" i="16"/>
  <c r="I51" i="16"/>
  <c r="Q58" i="16"/>
  <c r="I54" i="16"/>
  <c r="Q61" i="16"/>
  <c r="Q57" i="16"/>
  <c r="I53" i="16"/>
  <c r="R61" i="16"/>
  <c r="K58" i="16"/>
  <c r="S54" i="16"/>
  <c r="L51" i="16"/>
  <c r="I59" i="16"/>
  <c r="K55" i="16"/>
  <c r="K51" i="16"/>
  <c r="R53" i="16"/>
  <c r="R56" i="16"/>
  <c r="R52" i="16"/>
  <c r="R51" i="16"/>
  <c r="L52" i="16"/>
  <c r="J53" i="16"/>
  <c r="S53" i="16"/>
  <c r="J61" i="16"/>
  <c r="L59" i="16"/>
  <c r="I56" i="16"/>
  <c r="K54" i="16"/>
  <c r="P51" i="16"/>
  <c r="S61" i="16"/>
  <c r="K59" i="16"/>
  <c r="L57" i="16"/>
  <c r="I55" i="16"/>
  <c r="K53" i="16"/>
  <c r="K62" i="16"/>
  <c r="R57" i="16"/>
  <c r="Q52" i="16"/>
  <c r="R60" i="16"/>
  <c r="P56" i="16"/>
  <c r="Q51" i="16"/>
  <c r="S60" i="16"/>
  <c r="K57" i="16"/>
  <c r="P53" i="16"/>
  <c r="J62" i="16"/>
  <c r="J58" i="16"/>
  <c r="R54" i="16"/>
  <c r="Q60" i="16"/>
  <c r="S58" i="16"/>
  <c r="J51" i="16"/>
  <c r="P60" i="16"/>
  <c r="P54" i="16"/>
  <c r="Q56" i="16"/>
  <c r="Q55" i="16"/>
  <c r="K56" i="16"/>
  <c r="J57" i="16"/>
  <c r="P52" i="16"/>
  <c r="P61" i="16"/>
  <c r="AH23" i="15"/>
  <c r="AG23" i="15"/>
  <c r="AB18" i="12"/>
  <c r="Z7" i="15"/>
  <c r="R18" i="12"/>
  <c r="T18" i="12" s="1"/>
  <c r="R17" i="12"/>
  <c r="T17" i="12" s="1"/>
  <c r="U16" i="12"/>
  <c r="Z6" i="15"/>
  <c r="U63" i="12"/>
  <c r="AD63" i="12" s="1"/>
  <c r="U71" i="12"/>
  <c r="I31" i="16"/>
  <c r="D28" i="16"/>
  <c r="O137" i="8" s="1"/>
  <c r="O140" i="8" s="1"/>
  <c r="L31" i="16"/>
  <c r="I57" i="16"/>
  <c r="I61" i="16"/>
  <c r="L15" i="12"/>
  <c r="J73" i="16" l="1"/>
  <c r="L73" i="16"/>
  <c r="AD71" i="12"/>
  <c r="AE71" i="12" s="1"/>
  <c r="K4" i="16"/>
  <c r="AD31" i="12"/>
  <c r="AE31" i="12" s="1"/>
  <c r="W31" i="12"/>
  <c r="V31" i="12"/>
  <c r="J63" i="16"/>
  <c r="K63" i="16"/>
  <c r="K47" i="16"/>
  <c r="Y6" i="15"/>
  <c r="X6" i="15" s="1"/>
  <c r="W6" i="15" s="1"/>
  <c r="AJ20" i="15" s="1"/>
  <c r="J47" i="16"/>
  <c r="L63" i="16"/>
  <c r="AE6" i="15"/>
  <c r="AH6" i="15" s="1"/>
  <c r="AH20" i="15" s="1"/>
  <c r="AG6" i="15"/>
  <c r="AG21" i="15" s="1"/>
  <c r="L36" i="16"/>
  <c r="I41" i="16"/>
  <c r="L41" i="16"/>
  <c r="L35" i="16"/>
  <c r="L38" i="16"/>
  <c r="L43" i="16"/>
  <c r="L37" i="16"/>
  <c r="AD16" i="12"/>
  <c r="AE16" i="12" s="1"/>
  <c r="L40" i="16"/>
  <c r="I43" i="16"/>
  <c r="I47" i="16" s="1"/>
  <c r="L45" i="16"/>
  <c r="AB22" i="15"/>
  <c r="AC22" i="15"/>
  <c r="E46" i="16"/>
  <c r="D46" i="16" s="1"/>
  <c r="E45" i="16"/>
  <c r="E41" i="16"/>
  <c r="E42" i="16"/>
  <c r="D42" i="16" s="1"/>
  <c r="AH25" i="15"/>
  <c r="AH24" i="15"/>
  <c r="E38" i="16"/>
  <c r="E43" i="16"/>
  <c r="S47" i="16"/>
  <c r="E36" i="16"/>
  <c r="E39" i="16"/>
  <c r="D39" i="16" s="1"/>
  <c r="E35" i="16"/>
  <c r="P47" i="16"/>
  <c r="R47" i="16"/>
  <c r="Q47" i="16"/>
  <c r="E44" i="16"/>
  <c r="D44" i="16" s="1"/>
  <c r="E37" i="16"/>
  <c r="E40" i="16"/>
  <c r="AJ25" i="15"/>
  <c r="AJ24" i="15"/>
  <c r="V6" i="15"/>
  <c r="T6" i="15" s="1"/>
  <c r="Q14" i="16" s="1"/>
  <c r="S5" i="16"/>
  <c r="L6" i="16"/>
  <c r="J4" i="16"/>
  <c r="K8" i="16"/>
  <c r="Q11" i="16"/>
  <c r="P9" i="16"/>
  <c r="R14" i="16"/>
  <c r="L4" i="16"/>
  <c r="J8" i="16"/>
  <c r="J10" i="16"/>
  <c r="P63" i="16"/>
  <c r="Y17" i="12"/>
  <c r="X17" i="12"/>
  <c r="Y18" i="12"/>
  <c r="X18" i="12"/>
  <c r="P8" i="16"/>
  <c r="Y7" i="15"/>
  <c r="X7" i="15" s="1"/>
  <c r="W7" i="15" s="1"/>
  <c r="E53" i="16"/>
  <c r="D53" i="16" s="1"/>
  <c r="E61" i="16"/>
  <c r="D61" i="16" s="1"/>
  <c r="K6" i="16"/>
  <c r="K3" i="16"/>
  <c r="R6" i="16"/>
  <c r="J5" i="16"/>
  <c r="Q6" i="16"/>
  <c r="Q12" i="16"/>
  <c r="E52" i="16"/>
  <c r="D52" i="16" s="1"/>
  <c r="R4" i="16"/>
  <c r="S6" i="16"/>
  <c r="L3" i="16"/>
  <c r="L5" i="16"/>
  <c r="L7" i="16"/>
  <c r="S3" i="16"/>
  <c r="J14" i="16"/>
  <c r="J6" i="16"/>
  <c r="J11" i="16"/>
  <c r="K5" i="16"/>
  <c r="K7" i="16"/>
  <c r="J12" i="16"/>
  <c r="K13" i="16"/>
  <c r="J13" i="16"/>
  <c r="Q8" i="16"/>
  <c r="Q4" i="16"/>
  <c r="S8" i="16"/>
  <c r="R3" i="16"/>
  <c r="R5" i="16"/>
  <c r="S7" i="16"/>
  <c r="S4" i="16"/>
  <c r="J3" i="16"/>
  <c r="J7" i="16"/>
  <c r="Q3" i="16"/>
  <c r="Q5" i="16"/>
  <c r="Q7" i="16"/>
  <c r="K10" i="16"/>
  <c r="L8" i="16"/>
  <c r="E60" i="16"/>
  <c r="D60" i="16" s="1"/>
  <c r="E57" i="16"/>
  <c r="D57" i="16" s="1"/>
  <c r="E51" i="16"/>
  <c r="R63" i="16"/>
  <c r="E59" i="16"/>
  <c r="D59" i="16" s="1"/>
  <c r="E55" i="16"/>
  <c r="D55" i="16" s="1"/>
  <c r="Q63" i="16"/>
  <c r="E58" i="16"/>
  <c r="D58" i="16" s="1"/>
  <c r="S63" i="16"/>
  <c r="AB17" i="12"/>
  <c r="N17" i="12" s="1"/>
  <c r="S17" i="12" s="1"/>
  <c r="E54" i="16"/>
  <c r="D54" i="16" s="1"/>
  <c r="E56" i="16"/>
  <c r="D56" i="16" s="1"/>
  <c r="E62" i="16"/>
  <c r="D62" i="16" s="1"/>
  <c r="Q10" i="16"/>
  <c r="K14" i="16"/>
  <c r="I5" i="16"/>
  <c r="K11" i="16"/>
  <c r="Q13" i="16"/>
  <c r="R8" i="16"/>
  <c r="R11" i="16"/>
  <c r="R7" i="16"/>
  <c r="R13" i="16"/>
  <c r="I8" i="16"/>
  <c r="R10" i="16"/>
  <c r="I13" i="16"/>
  <c r="I7" i="16"/>
  <c r="I10" i="16"/>
  <c r="P10" i="16"/>
  <c r="I14" i="16"/>
  <c r="I6" i="16"/>
  <c r="I12" i="16"/>
  <c r="I11" i="16"/>
  <c r="P4" i="16"/>
  <c r="I4" i="16"/>
  <c r="I3" i="16"/>
  <c r="P7" i="16"/>
  <c r="P5" i="16"/>
  <c r="P11" i="16"/>
  <c r="P12" i="16"/>
  <c r="P6" i="16"/>
  <c r="P3" i="16"/>
  <c r="P14" i="16"/>
  <c r="P13" i="16"/>
  <c r="S78" i="16"/>
  <c r="K76" i="16"/>
  <c r="I74" i="16"/>
  <c r="J71" i="16"/>
  <c r="L69" i="16"/>
  <c r="J67" i="16"/>
  <c r="J74" i="16"/>
  <c r="P68" i="16"/>
  <c r="S77" i="16"/>
  <c r="K75" i="16"/>
  <c r="I71" i="16"/>
  <c r="K69" i="16"/>
  <c r="I67" i="16"/>
  <c r="S69" i="16"/>
  <c r="R77" i="16"/>
  <c r="J75" i="16"/>
  <c r="K73" i="16"/>
  <c r="L71" i="16"/>
  <c r="J69" i="16"/>
  <c r="L67" i="16"/>
  <c r="P74" i="16"/>
  <c r="I69" i="16"/>
  <c r="P71" i="16"/>
  <c r="L70" i="16"/>
  <c r="S73" i="16"/>
  <c r="K71" i="16"/>
  <c r="R73" i="16"/>
  <c r="R67" i="16"/>
  <c r="P77" i="16"/>
  <c r="R75" i="16"/>
  <c r="S72" i="16"/>
  <c r="Q70" i="16"/>
  <c r="S68" i="16"/>
  <c r="Q77" i="16"/>
  <c r="K67" i="16"/>
  <c r="I77" i="16"/>
  <c r="R74" i="16"/>
  <c r="R72" i="16"/>
  <c r="P70" i="16"/>
  <c r="R68" i="16"/>
  <c r="I75" i="16"/>
  <c r="J68" i="16"/>
  <c r="L77" i="16"/>
  <c r="Q74" i="16"/>
  <c r="Q72" i="16"/>
  <c r="S70" i="16"/>
  <c r="Q68" i="16"/>
  <c r="J78" i="16"/>
  <c r="Q73" i="16"/>
  <c r="Q67" i="16"/>
  <c r="Q76" i="16"/>
  <c r="R69" i="16"/>
  <c r="S75" i="16"/>
  <c r="Q75" i="16"/>
  <c r="S67" i="16"/>
  <c r="P75" i="16"/>
  <c r="L76" i="16"/>
  <c r="J77" i="16"/>
  <c r="L75" i="16"/>
  <c r="I72" i="16"/>
  <c r="K70" i="16"/>
  <c r="I68" i="16"/>
  <c r="R76" i="16"/>
  <c r="Q71" i="16"/>
  <c r="R78" i="16"/>
  <c r="J76" i="16"/>
  <c r="L74" i="16"/>
  <c r="L72" i="16"/>
  <c r="J70" i="16"/>
  <c r="L68" i="16"/>
  <c r="P72" i="16"/>
  <c r="Q78" i="16"/>
  <c r="S76" i="16"/>
  <c r="K74" i="16"/>
  <c r="K72" i="16"/>
  <c r="I70" i="16"/>
  <c r="K68" i="16"/>
  <c r="K77" i="16"/>
  <c r="J72" i="16"/>
  <c r="S74" i="16"/>
  <c r="P67" i="16"/>
  <c r="L78" i="16"/>
  <c r="S71" i="16"/>
  <c r="K78" i="16"/>
  <c r="P69" i="16"/>
  <c r="Q69" i="16"/>
  <c r="R71" i="16"/>
  <c r="R70" i="16"/>
  <c r="P73" i="16"/>
  <c r="P76" i="16"/>
  <c r="P78" i="16"/>
  <c r="I73" i="16"/>
  <c r="I78" i="16"/>
  <c r="I76" i="16"/>
  <c r="V16" i="12"/>
  <c r="U18" i="12"/>
  <c r="AD18" i="12" s="1"/>
  <c r="L94" i="16"/>
  <c r="J92" i="16"/>
  <c r="L90" i="16"/>
  <c r="J88" i="16"/>
  <c r="L86" i="16"/>
  <c r="Q83" i="16"/>
  <c r="S90" i="16"/>
  <c r="K84" i="16"/>
  <c r="L93" i="16"/>
  <c r="J91" i="16"/>
  <c r="L89" i="16"/>
  <c r="J87" i="16"/>
  <c r="L85" i="16"/>
  <c r="J83" i="16"/>
  <c r="I90" i="16"/>
  <c r="P94" i="16"/>
  <c r="R92" i="16"/>
  <c r="P90" i="16"/>
  <c r="R88" i="16"/>
  <c r="P86" i="16"/>
  <c r="R84" i="16"/>
  <c r="K92" i="16"/>
  <c r="L87" i="16"/>
  <c r="S94" i="16"/>
  <c r="I85" i="16"/>
  <c r="S93" i="16"/>
  <c r="Q91" i="16"/>
  <c r="S89" i="16"/>
  <c r="Q87" i="16"/>
  <c r="S85" i="16"/>
  <c r="K83" i="16"/>
  <c r="P89" i="16"/>
  <c r="Q94" i="16"/>
  <c r="S92" i="16"/>
  <c r="Q90" i="16"/>
  <c r="S88" i="16"/>
  <c r="Q86" i="16"/>
  <c r="S84" i="16"/>
  <c r="I83" i="16"/>
  <c r="R87" i="16"/>
  <c r="J94" i="16"/>
  <c r="L92" i="16"/>
  <c r="J90" i="16"/>
  <c r="L88" i="16"/>
  <c r="J86" i="16"/>
  <c r="L84" i="16"/>
  <c r="R91" i="16"/>
  <c r="S86" i="16"/>
  <c r="R94" i="16"/>
  <c r="P92" i="16"/>
  <c r="R90" i="16"/>
  <c r="P88" i="16"/>
  <c r="R86" i="16"/>
  <c r="J84" i="16"/>
  <c r="Q92" i="16"/>
  <c r="I86" i="16"/>
  <c r="R93" i="16"/>
  <c r="P91" i="16"/>
  <c r="R89" i="16"/>
  <c r="P87" i="16"/>
  <c r="R85" i="16"/>
  <c r="P83" i="16"/>
  <c r="L91" i="16"/>
  <c r="L83" i="16"/>
  <c r="K93" i="16"/>
  <c r="I91" i="16"/>
  <c r="K89" i="16"/>
  <c r="I87" i="16"/>
  <c r="K85" i="16"/>
  <c r="P93" i="16"/>
  <c r="Q88" i="16"/>
  <c r="R83" i="16"/>
  <c r="P85" i="16"/>
  <c r="I93" i="16"/>
  <c r="K91" i="16"/>
  <c r="I89" i="16"/>
  <c r="K87" i="16"/>
  <c r="P84" i="16"/>
  <c r="I94" i="16"/>
  <c r="K88" i="16"/>
  <c r="K94" i="16"/>
  <c r="I92" i="16"/>
  <c r="D92" i="16" s="1"/>
  <c r="K90" i="16"/>
  <c r="I88" i="16"/>
  <c r="K86" i="16"/>
  <c r="I84" i="16"/>
  <c r="J93" i="16"/>
  <c r="Q84" i="16"/>
  <c r="Q93" i="16"/>
  <c r="S91" i="16"/>
  <c r="Q89" i="16"/>
  <c r="S87" i="16"/>
  <c r="Q85" i="16"/>
  <c r="S83" i="16"/>
  <c r="J89" i="16"/>
  <c r="J85" i="16"/>
  <c r="U17" i="12"/>
  <c r="W16" i="12"/>
  <c r="W63" i="12"/>
  <c r="V63" i="12"/>
  <c r="AE63" i="12"/>
  <c r="W71" i="12"/>
  <c r="V71" i="12"/>
  <c r="I63" i="16"/>
  <c r="I9" i="16"/>
  <c r="R9" i="16"/>
  <c r="K9" i="16"/>
  <c r="K12" i="16"/>
  <c r="R12" i="16"/>
  <c r="Q9" i="16"/>
  <c r="J9" i="16"/>
  <c r="S9" i="16"/>
  <c r="L10" i="16"/>
  <c r="L12" i="16"/>
  <c r="L14" i="16"/>
  <c r="S12" i="16"/>
  <c r="S11" i="16"/>
  <c r="L9" i="16"/>
  <c r="L11" i="16"/>
  <c r="L13" i="16"/>
  <c r="S10" i="16"/>
  <c r="S14" i="16"/>
  <c r="S13" i="16"/>
  <c r="AJ21" i="15" l="1"/>
  <c r="AH21" i="15"/>
  <c r="AH26" i="15" s="1"/>
  <c r="AH31" i="12"/>
  <c r="AI31" i="12" s="1"/>
  <c r="AI35" i="12" s="1"/>
  <c r="E45" i="20" s="1"/>
  <c r="AF31" i="12"/>
  <c r="AA17" i="12"/>
  <c r="Z17" i="12"/>
  <c r="J95" i="16"/>
  <c r="L15" i="16"/>
  <c r="K15" i="16"/>
  <c r="L47" i="16"/>
  <c r="J79" i="16"/>
  <c r="J15" i="16"/>
  <c r="K95" i="16"/>
  <c r="K79" i="16"/>
  <c r="L95" i="16"/>
  <c r="L79" i="16"/>
  <c r="D36" i="16"/>
  <c r="D41" i="16"/>
  <c r="D35" i="16"/>
  <c r="D38" i="16"/>
  <c r="D37" i="16"/>
  <c r="D40" i="16"/>
  <c r="D45" i="16"/>
  <c r="E47" i="16"/>
  <c r="D43" i="16"/>
  <c r="E4" i="16"/>
  <c r="E5" i="16"/>
  <c r="D4" i="16"/>
  <c r="D6" i="16"/>
  <c r="D3" i="16"/>
  <c r="D8" i="16"/>
  <c r="E8" i="16"/>
  <c r="D13" i="16"/>
  <c r="D5" i="16"/>
  <c r="D7" i="16"/>
  <c r="E3" i="16"/>
  <c r="E6" i="16"/>
  <c r="D51" i="16"/>
  <c r="D63" i="16" s="1"/>
  <c r="E63" i="16"/>
  <c r="AD17" i="12"/>
  <c r="AE17" i="12" s="1"/>
  <c r="AF16" i="12"/>
  <c r="AH16" i="12"/>
  <c r="AI16" i="12" s="1"/>
  <c r="AH63" i="12"/>
  <c r="AI63" i="12" s="1"/>
  <c r="AI67" i="12" s="1"/>
  <c r="AF63" i="12"/>
  <c r="AH71" i="12"/>
  <c r="AI71" i="12" s="1"/>
  <c r="AI75" i="12" s="1"/>
  <c r="AF71" i="12"/>
  <c r="W18" i="12"/>
  <c r="D14" i="16"/>
  <c r="E14" i="16"/>
  <c r="E7" i="16"/>
  <c r="D11" i="16"/>
  <c r="E10" i="16"/>
  <c r="Q15" i="16"/>
  <c r="D10" i="16"/>
  <c r="E11" i="16"/>
  <c r="AE18" i="12"/>
  <c r="E13" i="16"/>
  <c r="D70" i="16"/>
  <c r="E76" i="16"/>
  <c r="E78" i="16"/>
  <c r="D76" i="16"/>
  <c r="V18" i="12"/>
  <c r="E71" i="16"/>
  <c r="D71" i="16"/>
  <c r="E68" i="16"/>
  <c r="Q79" i="16"/>
  <c r="D78" i="16"/>
  <c r="E73" i="16"/>
  <c r="E69" i="16"/>
  <c r="E67" i="16"/>
  <c r="P79" i="16"/>
  <c r="D75" i="16"/>
  <c r="D69" i="16"/>
  <c r="D74" i="16"/>
  <c r="D88" i="16"/>
  <c r="D68" i="16"/>
  <c r="D73" i="16"/>
  <c r="D72" i="16"/>
  <c r="E75" i="16"/>
  <c r="D77" i="16"/>
  <c r="E77" i="16"/>
  <c r="E74" i="16"/>
  <c r="D67" i="16"/>
  <c r="I79" i="16"/>
  <c r="E72" i="16"/>
  <c r="S79" i="16"/>
  <c r="E70" i="16"/>
  <c r="R79" i="16"/>
  <c r="R95" i="16"/>
  <c r="D87" i="16"/>
  <c r="D89" i="16"/>
  <c r="D86" i="16"/>
  <c r="E88" i="16"/>
  <c r="E89" i="16"/>
  <c r="D94" i="16"/>
  <c r="E94" i="16"/>
  <c r="I95" i="16"/>
  <c r="D83" i="16"/>
  <c r="D90" i="16"/>
  <c r="E87" i="16"/>
  <c r="S95" i="16"/>
  <c r="D84" i="16"/>
  <c r="E84" i="16"/>
  <c r="D93" i="16"/>
  <c r="E93" i="16"/>
  <c r="D91" i="16"/>
  <c r="E83" i="16"/>
  <c r="P95" i="16"/>
  <c r="E91" i="16"/>
  <c r="E92" i="16"/>
  <c r="E90" i="16"/>
  <c r="Q95" i="16"/>
  <c r="E86" i="16"/>
  <c r="E85" i="16"/>
  <c r="D85" i="16"/>
  <c r="W17" i="12"/>
  <c r="V17" i="12"/>
  <c r="D12" i="16"/>
  <c r="D9" i="16"/>
  <c r="E12" i="16"/>
  <c r="E9" i="16"/>
  <c r="S15" i="16"/>
  <c r="R15" i="16"/>
  <c r="P15" i="16"/>
  <c r="I15" i="16"/>
  <c r="D47" i="16" l="1"/>
  <c r="AF17" i="12"/>
  <c r="AH17" i="12"/>
  <c r="AI17" i="12" s="1"/>
  <c r="AF18" i="12"/>
  <c r="AH18" i="12"/>
  <c r="AI18" i="12" s="1"/>
  <c r="D79" i="16"/>
  <c r="E79" i="16"/>
  <c r="D95" i="16"/>
  <c r="E95" i="16"/>
  <c r="R1" i="2" l="1"/>
  <c r="K19" i="10" l="1"/>
  <c r="Q247" i="8"/>
  <c r="K20" i="10" l="1"/>
  <c r="C194" i="2"/>
  <c r="D194" i="2"/>
  <c r="F60" i="13"/>
  <c r="E247" i="8"/>
  <c r="F48" i="13"/>
  <c r="D19" i="13"/>
  <c r="F50" i="13"/>
  <c r="F49" i="13"/>
  <c r="K139" i="13"/>
  <c r="K137" i="13"/>
  <c r="K135" i="13"/>
  <c r="K133" i="13"/>
  <c r="K130" i="13"/>
  <c r="K128" i="13"/>
  <c r="K126" i="13"/>
  <c r="K124" i="13"/>
  <c r="K122" i="13"/>
  <c r="K138" i="13"/>
  <c r="K136" i="13"/>
  <c r="K134" i="13"/>
  <c r="K132" i="13"/>
  <c r="K131" i="13"/>
  <c r="K129" i="13"/>
  <c r="K127" i="13"/>
  <c r="K125" i="13"/>
  <c r="K123" i="13"/>
  <c r="K12" i="13"/>
  <c r="C23" i="19"/>
  <c r="P23" i="19" s="1"/>
  <c r="S2" i="2"/>
  <c r="S5" i="2"/>
  <c r="D174" i="2"/>
  <c r="C175" i="2"/>
  <c r="C121" i="2"/>
  <c r="C117" i="2"/>
  <c r="C110" i="2"/>
  <c r="E110" i="2" s="1"/>
  <c r="C106" i="2"/>
  <c r="E106" i="2" s="1"/>
  <c r="C102" i="2"/>
  <c r="C95" i="2"/>
  <c r="C169" i="2" s="1"/>
  <c r="C91" i="2"/>
  <c r="D94" i="2"/>
  <c r="C174" i="2"/>
  <c r="C120" i="2"/>
  <c r="C116" i="2"/>
  <c r="C109" i="2"/>
  <c r="E109" i="2" s="1"/>
  <c r="C105" i="2"/>
  <c r="E105" i="2" s="1"/>
  <c r="C101" i="2"/>
  <c r="C94" i="2"/>
  <c r="C90" i="2"/>
  <c r="D93" i="2"/>
  <c r="C173" i="2"/>
  <c r="C119" i="2"/>
  <c r="C115" i="2"/>
  <c r="C108" i="2"/>
  <c r="E108" i="2" s="1"/>
  <c r="C104" i="2"/>
  <c r="E104" i="2" s="1"/>
  <c r="C97" i="2"/>
  <c r="C170" i="2" s="1"/>
  <c r="C93" i="2"/>
  <c r="D92" i="2"/>
  <c r="C176" i="2"/>
  <c r="C118" i="2"/>
  <c r="C114" i="2"/>
  <c r="C107" i="2"/>
  <c r="E107" i="2" s="1"/>
  <c r="C103" i="2"/>
  <c r="E103" i="2" s="1"/>
  <c r="C92" i="2"/>
  <c r="C220" i="2"/>
  <c r="C216" i="2"/>
  <c r="C212" i="2"/>
  <c r="C208" i="2"/>
  <c r="C204" i="2"/>
  <c r="C200" i="2"/>
  <c r="C192" i="2"/>
  <c r="D193" i="2"/>
  <c r="C219" i="2"/>
  <c r="C215" i="2"/>
  <c r="C211" i="2"/>
  <c r="C207" i="2"/>
  <c r="C203" i="2"/>
  <c r="C199" i="2"/>
  <c r="C191" i="2"/>
  <c r="D192" i="2"/>
  <c r="C225" i="2"/>
  <c r="C218" i="2"/>
  <c r="C214" i="2"/>
  <c r="C210" i="2"/>
  <c r="C206" i="2"/>
  <c r="C202" i="2"/>
  <c r="C195" i="2"/>
  <c r="C190" i="2"/>
  <c r="C224" i="2"/>
  <c r="C217" i="2"/>
  <c r="C213" i="2"/>
  <c r="C209" i="2"/>
  <c r="C205" i="2"/>
  <c r="C201" i="2"/>
  <c r="C193" i="2"/>
  <c r="C189" i="2"/>
  <c r="M104" i="2"/>
  <c r="M109" i="2"/>
  <c r="M106" i="2"/>
  <c r="M105" i="2"/>
  <c r="M102" i="2"/>
  <c r="M107" i="2"/>
  <c r="M110" i="2"/>
  <c r="M103" i="2"/>
  <c r="M108" i="2"/>
  <c r="M101" i="2"/>
  <c r="R5" i="2"/>
  <c r="Q5" i="2"/>
  <c r="P250" i="8"/>
  <c r="O250" i="8"/>
  <c r="N250" i="8"/>
  <c r="M250" i="8"/>
  <c r="L250" i="8"/>
  <c r="K250" i="8"/>
  <c r="J250" i="8"/>
  <c r="I250" i="8"/>
  <c r="H250" i="8"/>
  <c r="G250" i="8"/>
  <c r="F250" i="8"/>
  <c r="D250" i="8"/>
  <c r="C96" i="2" s="1"/>
  <c r="E52" i="13" l="1"/>
  <c r="F59" i="13" s="1"/>
  <c r="C233" i="2"/>
  <c r="D95" i="2"/>
  <c r="D169" i="2" s="1"/>
  <c r="E18" i="8"/>
  <c r="D28" i="2" s="1"/>
  <c r="E234" i="8"/>
  <c r="F57" i="13" l="1"/>
  <c r="F58" i="13"/>
  <c r="F56" i="13"/>
  <c r="E54" i="13"/>
  <c r="E53" i="13"/>
  <c r="B83" i="2"/>
  <c r="C98" i="2" l="1"/>
  <c r="C60" i="2"/>
  <c r="D5" i="8"/>
  <c r="D129" i="8" s="1"/>
  <c r="D189" i="8"/>
  <c r="D158" i="8"/>
  <c r="D116" i="8"/>
  <c r="D103" i="8"/>
  <c r="C165" i="2" l="1"/>
  <c r="D165" i="2"/>
  <c r="D246" i="8"/>
  <c r="D67" i="8"/>
  <c r="E60" i="2"/>
  <c r="C143" i="2"/>
  <c r="D192" i="8"/>
  <c r="D208" i="8" s="1"/>
  <c r="D80" i="8"/>
  <c r="D135" i="8"/>
  <c r="D65" i="8"/>
  <c r="D127" i="8"/>
  <c r="D252" i="8" s="1"/>
  <c r="D142" i="8" l="1"/>
  <c r="D207" i="8" s="1"/>
  <c r="B4" i="8"/>
  <c r="A2" i="5"/>
  <c r="A2" i="4"/>
  <c r="D197" i="8" l="1"/>
  <c r="D209" i="8"/>
  <c r="D221" i="8" s="1"/>
  <c r="B1" i="2" l="1"/>
  <c r="E165" i="8" l="1"/>
  <c r="D203" i="2" s="1"/>
  <c r="E166" i="8"/>
  <c r="D204" i="2" s="1"/>
  <c r="E167" i="8"/>
  <c r="D205" i="2" s="1"/>
  <c r="E168" i="8"/>
  <c r="D206" i="2" s="1"/>
  <c r="E169" i="8"/>
  <c r="D207" i="2" s="1"/>
  <c r="E170" i="8"/>
  <c r="D208" i="2" s="1"/>
  <c r="E171" i="8" l="1"/>
  <c r="D209" i="2" s="1"/>
  <c r="E172" i="8"/>
  <c r="D210" i="2" s="1"/>
  <c r="E173" i="8"/>
  <c r="D211" i="2" s="1"/>
  <c r="E174" i="8"/>
  <c r="D212" i="2" s="1"/>
  <c r="E175" i="8"/>
  <c r="D213" i="2" s="1"/>
  <c r="E176" i="8"/>
  <c r="D214" i="2" s="1"/>
  <c r="E177" i="8"/>
  <c r="D215" i="2" s="1"/>
  <c r="E178" i="8"/>
  <c r="D216" i="2" s="1"/>
  <c r="E139" i="8"/>
  <c r="D173" i="2" s="1"/>
  <c r="E132" i="8"/>
  <c r="E69" i="8"/>
  <c r="D153" i="2" s="1"/>
  <c r="D175" i="2" l="1"/>
  <c r="D28" i="13"/>
  <c r="E127" i="2" l="1"/>
  <c r="D17" i="2"/>
  <c r="D163" i="2" s="1"/>
  <c r="L82" i="13" l="1"/>
  <c r="D140" i="2"/>
  <c r="E2" i="20"/>
  <c r="D3" i="21"/>
  <c r="A33" i="13"/>
  <c r="C33" i="13" s="1"/>
  <c r="E11" i="19"/>
  <c r="F158" i="8"/>
  <c r="E5" i="8"/>
  <c r="E186" i="8"/>
  <c r="D224" i="2" s="1"/>
  <c r="E152" i="8"/>
  <c r="D190" i="2" s="1"/>
  <c r="E98" i="8"/>
  <c r="D91" i="2" s="1"/>
  <c r="E11" i="8"/>
  <c r="D19" i="2" s="1"/>
  <c r="C17" i="2" l="1"/>
  <c r="C163" i="2" s="1"/>
  <c r="K82" i="13" l="1"/>
  <c r="C140" i="2"/>
  <c r="D11" i="19"/>
  <c r="M66" i="2"/>
  <c r="A32" i="13"/>
  <c r="Q1" i="2"/>
  <c r="N2" i="19" l="1"/>
  <c r="M83" i="2" s="1"/>
  <c r="C32" i="13"/>
  <c r="E131" i="8"/>
  <c r="E187" i="8"/>
  <c r="D225" i="2" s="1"/>
  <c r="E180" i="8"/>
  <c r="D218" i="2" s="1"/>
  <c r="E179" i="8"/>
  <c r="D217" i="2" s="1"/>
  <c r="E164" i="8"/>
  <c r="D202" i="2" s="1"/>
  <c r="E163" i="8"/>
  <c r="D201" i="2" s="1"/>
  <c r="E162" i="8"/>
  <c r="D200" i="2" s="1"/>
  <c r="E161" i="8"/>
  <c r="D199" i="2" s="1"/>
  <c r="Q158" i="8"/>
  <c r="P158" i="8"/>
  <c r="O158" i="8"/>
  <c r="N158" i="8"/>
  <c r="M158" i="8"/>
  <c r="L158" i="8"/>
  <c r="K158" i="8"/>
  <c r="J158" i="8"/>
  <c r="I158" i="8"/>
  <c r="H158" i="8"/>
  <c r="G158" i="8"/>
  <c r="E157" i="8"/>
  <c r="D195" i="2" s="1"/>
  <c r="E153" i="8"/>
  <c r="D191" i="2" s="1"/>
  <c r="E151" i="8"/>
  <c r="D189" i="2" s="1"/>
  <c r="Q249" i="8" l="1"/>
  <c r="Q248" i="8"/>
  <c r="D176" i="2"/>
  <c r="E133" i="8"/>
  <c r="P34" i="2"/>
  <c r="M60" i="13"/>
  <c r="M120" i="13"/>
  <c r="M111" i="13"/>
  <c r="M119" i="13"/>
  <c r="M98" i="13"/>
  <c r="M110" i="13"/>
  <c r="M109" i="13"/>
  <c r="M117" i="13"/>
  <c r="M106" i="13"/>
  <c r="M99" i="13"/>
  <c r="M112" i="13"/>
  <c r="M101" i="13"/>
  <c r="M108" i="13"/>
  <c r="M93" i="13"/>
  <c r="M113" i="13"/>
  <c r="M107" i="13"/>
  <c r="M92" i="13"/>
  <c r="M102" i="13"/>
  <c r="M87" i="13"/>
  <c r="M94" i="13"/>
  <c r="M88" i="13"/>
  <c r="M104" i="13"/>
  <c r="M82" i="13"/>
  <c r="E158" i="8"/>
  <c r="E124" i="8"/>
  <c r="E123" i="8"/>
  <c r="E248" i="8"/>
  <c r="E122" i="8"/>
  <c r="E121" i="8"/>
  <c r="E120" i="8"/>
  <c r="E119" i="8"/>
  <c r="Q116" i="8"/>
  <c r="P116" i="8"/>
  <c r="O116" i="8"/>
  <c r="N116" i="8"/>
  <c r="M116" i="8"/>
  <c r="L116" i="8"/>
  <c r="K116" i="8"/>
  <c r="J116" i="8"/>
  <c r="I116" i="8"/>
  <c r="H116" i="8"/>
  <c r="G116" i="8"/>
  <c r="F116" i="8"/>
  <c r="E115" i="8"/>
  <c r="E110" i="8"/>
  <c r="E114" i="8"/>
  <c r="E113" i="8"/>
  <c r="E112" i="8"/>
  <c r="E111" i="8"/>
  <c r="E109" i="8"/>
  <c r="E108" i="8"/>
  <c r="E107" i="8"/>
  <c r="E106" i="8"/>
  <c r="Q103" i="8"/>
  <c r="P103" i="8"/>
  <c r="O103" i="8"/>
  <c r="N103" i="8"/>
  <c r="M103" i="8"/>
  <c r="L103" i="8"/>
  <c r="K103" i="8"/>
  <c r="J103" i="8"/>
  <c r="I103" i="8"/>
  <c r="H103" i="8"/>
  <c r="G103" i="8"/>
  <c r="F103" i="8"/>
  <c r="E102" i="8"/>
  <c r="D97" i="2" s="1"/>
  <c r="D170" i="2" s="1"/>
  <c r="E97" i="8"/>
  <c r="D90" i="2" s="1"/>
  <c r="Q250" i="8" l="1"/>
  <c r="E250" i="8" s="1"/>
  <c r="D96" i="2" s="1"/>
  <c r="E249" i="8"/>
  <c r="N246" i="8"/>
  <c r="G246" i="8"/>
  <c r="K246" i="8"/>
  <c r="O246" i="8"/>
  <c r="J246" i="8"/>
  <c r="H246" i="8"/>
  <c r="L246" i="8"/>
  <c r="P246" i="8"/>
  <c r="I246" i="8"/>
  <c r="M246" i="8"/>
  <c r="Q246" i="8"/>
  <c r="F246" i="8"/>
  <c r="D104" i="2"/>
  <c r="L125" i="13"/>
  <c r="M125" i="13" s="1"/>
  <c r="D109" i="2"/>
  <c r="L130" i="13"/>
  <c r="M130" i="13" s="1"/>
  <c r="D115" i="2"/>
  <c r="L133" i="13"/>
  <c r="M133" i="13" s="1"/>
  <c r="D120" i="2"/>
  <c r="L138" i="13"/>
  <c r="M138" i="13" s="1"/>
  <c r="D103" i="2"/>
  <c r="L124" i="13"/>
  <c r="M124" i="13" s="1"/>
  <c r="D118" i="2"/>
  <c r="L136" i="13"/>
  <c r="M136" i="13" s="1"/>
  <c r="D101" i="2"/>
  <c r="E101" i="2" s="1"/>
  <c r="L122" i="13"/>
  <c r="M122" i="13" s="1"/>
  <c r="D106" i="2"/>
  <c r="L127" i="13"/>
  <c r="M127" i="13" s="1"/>
  <c r="D105" i="2"/>
  <c r="L126" i="13"/>
  <c r="M126" i="13" s="1"/>
  <c r="D116" i="2"/>
  <c r="L134" i="13"/>
  <c r="M134" i="13" s="1"/>
  <c r="D121" i="2"/>
  <c r="L139" i="13"/>
  <c r="M139" i="13" s="1"/>
  <c r="D108" i="2"/>
  <c r="L129" i="13"/>
  <c r="M129" i="13" s="1"/>
  <c r="D114" i="2"/>
  <c r="L132" i="13"/>
  <c r="M132" i="13" s="1"/>
  <c r="D102" i="2"/>
  <c r="E102" i="2" s="1"/>
  <c r="L123" i="13"/>
  <c r="M123" i="13" s="1"/>
  <c r="D107" i="2"/>
  <c r="L128" i="13"/>
  <c r="M128" i="13" s="1"/>
  <c r="D110" i="2"/>
  <c r="L131" i="13"/>
  <c r="M131" i="13" s="1"/>
  <c r="D117" i="2"/>
  <c r="L135" i="13"/>
  <c r="M135" i="13" s="1"/>
  <c r="D98" i="2"/>
  <c r="G48" i="13" s="1"/>
  <c r="E103" i="8"/>
  <c r="E116" i="8"/>
  <c r="E140" i="8" l="1"/>
  <c r="E138" i="8"/>
  <c r="E137" i="8"/>
  <c r="D172" i="2" s="1"/>
  <c r="E246" i="8"/>
  <c r="AE5" i="12"/>
  <c r="H86" i="14" s="1"/>
  <c r="F11" i="12"/>
  <c r="G8" i="11" s="1"/>
  <c r="B11" i="12"/>
  <c r="B75" i="12"/>
  <c r="B67" i="12"/>
  <c r="B59" i="12"/>
  <c r="B35" i="12"/>
  <c r="B27" i="12"/>
  <c r="B19" i="12"/>
  <c r="D12" i="5"/>
  <c r="D19" i="5"/>
  <c r="D26" i="5"/>
  <c r="D33" i="5"/>
  <c r="A47" i="5"/>
  <c r="A40" i="5"/>
  <c r="A33" i="5"/>
  <c r="A19" i="5"/>
  <c r="A12" i="5"/>
  <c r="D33" i="20" l="1"/>
  <c r="D219" i="8"/>
  <c r="D86" i="14"/>
  <c r="D97" i="14" s="1"/>
  <c r="H97" i="14"/>
  <c r="Y5" i="12"/>
  <c r="W5" i="12" s="1"/>
  <c r="H71" i="14"/>
  <c r="D71" i="14" s="1"/>
  <c r="Z5" i="12"/>
  <c r="AC5" i="12" s="1"/>
  <c r="H75" i="14"/>
  <c r="D75" i="14" s="1"/>
  <c r="H69" i="14"/>
  <c r="G68" i="4"/>
  <c r="G61" i="4"/>
  <c r="D61" i="4"/>
  <c r="G54" i="4"/>
  <c r="D54" i="4"/>
  <c r="G47" i="4"/>
  <c r="D47" i="4"/>
  <c r="G40" i="4"/>
  <c r="D40" i="4"/>
  <c r="G33" i="4"/>
  <c r="D33" i="4"/>
  <c r="G26" i="4"/>
  <c r="D19" i="4"/>
  <c r="G19" i="4"/>
  <c r="G12" i="4"/>
  <c r="D12" i="4"/>
  <c r="A47" i="4"/>
  <c r="A40" i="4"/>
  <c r="A33" i="4"/>
  <c r="A26" i="4"/>
  <c r="A19" i="4"/>
  <c r="A12" i="4"/>
  <c r="E212" i="8" l="1"/>
  <c r="F212" i="8" s="1"/>
  <c r="D212" i="8"/>
  <c r="K70" i="14"/>
  <c r="E70" i="14" s="1"/>
  <c r="K86" i="14"/>
  <c r="K71" i="14"/>
  <c r="E71" i="14" s="1"/>
  <c r="K74" i="14"/>
  <c r="E74" i="14" s="1"/>
  <c r="D69" i="14"/>
  <c r="D81" i="14" s="1"/>
  <c r="H81" i="14"/>
  <c r="K75" i="14"/>
  <c r="E75" i="14" s="1"/>
  <c r="X5" i="12"/>
  <c r="V5" i="12" s="1"/>
  <c r="K69" i="14"/>
  <c r="E69" i="14" s="1"/>
  <c r="AC11" i="12"/>
  <c r="F218" i="8" l="1"/>
  <c r="F219" i="8"/>
  <c r="G212" i="8" s="1"/>
  <c r="T213" i="8"/>
  <c r="T214" i="8" s="1"/>
  <c r="E86" i="14"/>
  <c r="K97" i="14"/>
  <c r="E81" i="14"/>
  <c r="K81" i="14"/>
  <c r="AD59" i="12"/>
  <c r="AE35" i="12"/>
  <c r="G22" i="11" s="1"/>
  <c r="D45" i="20" s="1"/>
  <c r="AE59" i="12"/>
  <c r="G26" i="11" s="1"/>
  <c r="D49" i="20" s="1"/>
  <c r="G218" i="8" l="1"/>
  <c r="G219" i="8"/>
  <c r="H212" i="8" s="1"/>
  <c r="V213" i="8" s="1"/>
  <c r="U213" i="8"/>
  <c r="U214" i="8" s="1"/>
  <c r="E97" i="14"/>
  <c r="AE27" i="12"/>
  <c r="G21" i="11" s="1"/>
  <c r="D44" i="20" s="1"/>
  <c r="AE75" i="12"/>
  <c r="AE67" i="12"/>
  <c r="AD35" i="12"/>
  <c r="AD75" i="12"/>
  <c r="V214" i="8" l="1"/>
  <c r="AB1" i="15"/>
  <c r="G52" i="11"/>
  <c r="AD67" i="12"/>
  <c r="G49" i="11" s="1"/>
  <c r="E33" i="5"/>
  <c r="G53" i="11" s="1"/>
  <c r="E26" i="5"/>
  <c r="E19" i="5"/>
  <c r="G50" i="11" s="1"/>
  <c r="B47" i="5"/>
  <c r="G29" i="11" s="1"/>
  <c r="B40" i="5"/>
  <c r="G16" i="11" s="1"/>
  <c r="B33" i="5"/>
  <c r="G11" i="11" s="1"/>
  <c r="B19" i="5"/>
  <c r="G10" i="11" s="1"/>
  <c r="B12" i="5"/>
  <c r="G13" i="11" l="1"/>
  <c r="E87" i="24"/>
  <c r="Y112" i="25" s="1"/>
  <c r="Z112" i="25" s="1"/>
  <c r="F34" i="25"/>
  <c r="H34" i="25" s="1"/>
  <c r="F33" i="23"/>
  <c r="H33" i="23" s="1"/>
  <c r="G51" i="11"/>
  <c r="E89" i="24"/>
  <c r="AG73" i="25" s="1"/>
  <c r="G30" i="11"/>
  <c r="E52" i="20"/>
  <c r="E53" i="20" s="1"/>
  <c r="D52" i="20"/>
  <c r="D53" i="20" s="1"/>
  <c r="E35" i="20"/>
  <c r="D35" i="20"/>
  <c r="D74" i="20"/>
  <c r="E74" i="20"/>
  <c r="E39" i="20"/>
  <c r="D39" i="20"/>
  <c r="E75" i="20"/>
  <c r="D75" i="20"/>
  <c r="D73" i="20"/>
  <c r="D38" i="20"/>
  <c r="E38" i="20"/>
  <c r="D77" i="20"/>
  <c r="E77" i="20"/>
  <c r="D76" i="20"/>
  <c r="E36" i="20"/>
  <c r="D36" i="20"/>
  <c r="D15" i="16"/>
  <c r="E31" i="16"/>
  <c r="E15" i="16"/>
  <c r="H26" i="4"/>
  <c r="C50" i="11" s="1"/>
  <c r="H19" i="4"/>
  <c r="B47" i="4"/>
  <c r="B40" i="4"/>
  <c r="B33" i="4"/>
  <c r="C15" i="11" s="1"/>
  <c r="B26" i="4"/>
  <c r="C14" i="11" s="1"/>
  <c r="B19" i="4"/>
  <c r="B12" i="4"/>
  <c r="E61" i="4"/>
  <c r="C29" i="11" s="1"/>
  <c r="E54" i="4"/>
  <c r="C28" i="11" s="1"/>
  <c r="E47" i="4"/>
  <c r="C27" i="11" s="1"/>
  <c r="E40" i="4"/>
  <c r="C26" i="11" s="1"/>
  <c r="E33" i="4"/>
  <c r="C22" i="11" s="1"/>
  <c r="Q230" i="8" s="1"/>
  <c r="E230" i="8" s="1"/>
  <c r="E19" i="4"/>
  <c r="E12" i="4"/>
  <c r="H12" i="4"/>
  <c r="C48" i="11" s="1"/>
  <c r="H68" i="4"/>
  <c r="C56" i="11" s="1"/>
  <c r="E68" i="20" s="1"/>
  <c r="H61" i="4"/>
  <c r="C55" i="11" s="1"/>
  <c r="H54" i="4"/>
  <c r="H47" i="4"/>
  <c r="C53" i="11" s="1"/>
  <c r="H40" i="4"/>
  <c r="C52" i="11" s="1"/>
  <c r="E64" i="20" s="1"/>
  <c r="H33" i="4"/>
  <c r="C51" i="11" s="1"/>
  <c r="E63" i="20" s="1"/>
  <c r="E98" i="24" l="1"/>
  <c r="E93" i="24"/>
  <c r="C21" i="11"/>
  <c r="D18" i="20" s="1"/>
  <c r="E67" i="20"/>
  <c r="C54" i="11"/>
  <c r="E66" i="20" s="1"/>
  <c r="E97" i="24"/>
  <c r="Y121" i="25" s="1"/>
  <c r="Z121" i="25" s="1"/>
  <c r="Q229" i="8"/>
  <c r="E229" i="8" s="1"/>
  <c r="E24" i="20" s="1"/>
  <c r="F44" i="25"/>
  <c r="E82" i="24"/>
  <c r="Y106" i="25" s="1"/>
  <c r="Z106" i="25" s="1"/>
  <c r="F20" i="25"/>
  <c r="H20" i="25" s="1"/>
  <c r="C8" i="11"/>
  <c r="F8" i="8" s="1"/>
  <c r="E92" i="24"/>
  <c r="E96" i="24"/>
  <c r="E85" i="24"/>
  <c r="Y110" i="25" s="1"/>
  <c r="Z110" i="25" s="1"/>
  <c r="G31" i="25"/>
  <c r="H31" i="25" s="1"/>
  <c r="C49" i="11"/>
  <c r="D61" i="20" s="1"/>
  <c r="H5" i="4"/>
  <c r="H44" i="25"/>
  <c r="D229" i="8" s="1"/>
  <c r="C20" i="11"/>
  <c r="E5" i="4"/>
  <c r="C9" i="11"/>
  <c r="E6" i="20" s="1"/>
  <c r="G30" i="23"/>
  <c r="H30" i="23" s="1"/>
  <c r="C13" i="11"/>
  <c r="D10" i="20" s="1"/>
  <c r="F20" i="23"/>
  <c r="H20" i="23" s="1"/>
  <c r="H23" i="23" s="1"/>
  <c r="B5" i="4"/>
  <c r="D64" i="20"/>
  <c r="D68" i="20"/>
  <c r="D19" i="20"/>
  <c r="E26" i="20"/>
  <c r="D26" i="20"/>
  <c r="E12" i="20"/>
  <c r="D12" i="20"/>
  <c r="D62" i="20"/>
  <c r="E62" i="20"/>
  <c r="D60" i="20"/>
  <c r="E60" i="20"/>
  <c r="E23" i="20"/>
  <c r="D23" i="20"/>
  <c r="D65" i="20"/>
  <c r="E65" i="20"/>
  <c r="D67" i="20"/>
  <c r="C30" i="11"/>
  <c r="D24" i="20"/>
  <c r="D63" i="20"/>
  <c r="D66" i="20"/>
  <c r="E25" i="20"/>
  <c r="D25" i="20"/>
  <c r="E11" i="20"/>
  <c r="D11" i="20"/>
  <c r="F205" i="8"/>
  <c r="D31" i="16"/>
  <c r="C16" i="11"/>
  <c r="C23" i="11" l="1"/>
  <c r="C34" i="11" s="1"/>
  <c r="D5" i="20"/>
  <c r="AM92" i="25"/>
  <c r="E205" i="8"/>
  <c r="Y109" i="25"/>
  <c r="Z109" i="25" s="1"/>
  <c r="F22" i="25"/>
  <c r="H22" i="25" s="1"/>
  <c r="F43" i="25"/>
  <c r="H43" i="25" s="1"/>
  <c r="D230" i="8" s="1"/>
  <c r="Y120" i="25"/>
  <c r="Z120" i="25" s="1"/>
  <c r="E10" i="20"/>
  <c r="H24" i="25"/>
  <c r="D6" i="20"/>
  <c r="E61" i="20"/>
  <c r="E69" i="20" s="1"/>
  <c r="E95" i="24"/>
  <c r="D17" i="20"/>
  <c r="D20" i="20" s="1"/>
  <c r="E27" i="20"/>
  <c r="D13" i="20"/>
  <c r="D14" i="20" s="1"/>
  <c r="E13" i="20"/>
  <c r="D69" i="20"/>
  <c r="D27" i="20"/>
  <c r="F42" i="25" l="1"/>
  <c r="H42" i="25" s="1"/>
  <c r="H46" i="25" s="1"/>
  <c r="Y119" i="25"/>
  <c r="Z119" i="25" s="1"/>
  <c r="Z123" i="25" s="1"/>
  <c r="D29" i="20"/>
  <c r="C57" i="11"/>
  <c r="C60" i="11" l="1"/>
  <c r="E99" i="24"/>
  <c r="AG74" i="25" s="1"/>
  <c r="D227" i="8"/>
  <c r="C65" i="2" s="1"/>
  <c r="Z100" i="25"/>
  <c r="C35" i="11"/>
  <c r="C17" i="11"/>
  <c r="C33" i="11" s="1"/>
  <c r="K2" i="10"/>
  <c r="Z101" i="25" l="1"/>
  <c r="AM71" i="25"/>
  <c r="AM73" i="25" s="1"/>
  <c r="AM91" i="25" s="1"/>
  <c r="K86" i="13"/>
  <c r="F4" i="11"/>
  <c r="C149" i="2"/>
  <c r="E65" i="2"/>
  <c r="H6" i="25"/>
  <c r="H6" i="23"/>
  <c r="C36" i="11"/>
  <c r="B3" i="5"/>
  <c r="B3" i="4"/>
  <c r="AM93" i="25" l="1"/>
  <c r="AK93" i="25"/>
  <c r="C59" i="11"/>
  <c r="C61" i="11" s="1"/>
  <c r="C40" i="11"/>
  <c r="F98" i="2" l="1"/>
  <c r="D111" i="2"/>
  <c r="D171" i="2"/>
  <c r="D196" i="2"/>
  <c r="D228" i="2"/>
  <c r="C228" i="2"/>
  <c r="D188" i="2"/>
  <c r="C188" i="2"/>
  <c r="D89" i="2"/>
  <c r="C89" i="2"/>
  <c r="C196" i="2"/>
  <c r="C171" i="2"/>
  <c r="C122" i="2"/>
  <c r="C167" i="2" s="1"/>
  <c r="C111" i="2"/>
  <c r="C166" i="2" s="1"/>
  <c r="F111" i="2" l="1"/>
  <c r="D166" i="2"/>
  <c r="E122" i="2"/>
  <c r="E111" i="2"/>
  <c r="G49" i="13"/>
  <c r="E98" i="2"/>
  <c r="C126" i="2"/>
  <c r="C124" i="2"/>
  <c r="D168" i="2" l="1"/>
  <c r="C168" i="2"/>
  <c r="C177" i="2"/>
  <c r="E126" i="2"/>
  <c r="C226" i="2"/>
  <c r="E60" i="8" l="1"/>
  <c r="E57" i="8"/>
  <c r="D71" i="2" l="1"/>
  <c r="F71" i="2" s="1"/>
  <c r="L121" i="13"/>
  <c r="M121" i="13" s="1"/>
  <c r="D68" i="2"/>
  <c r="F68" i="2" s="1"/>
  <c r="L95" i="13"/>
  <c r="M95" i="13" s="1"/>
  <c r="E19" i="8"/>
  <c r="D29" i="2" s="1"/>
  <c r="E12" i="8"/>
  <c r="D20" i="2" s="1"/>
  <c r="E68" i="8"/>
  <c r="D154" i="2" s="1"/>
  <c r="E10" i="8"/>
  <c r="E56" i="8"/>
  <c r="E228" i="8"/>
  <c r="E61" i="8"/>
  <c r="D72" i="2" s="1"/>
  <c r="E62" i="8"/>
  <c r="D73" i="2" s="1"/>
  <c r="E54" i="8"/>
  <c r="E28" i="8"/>
  <c r="E29" i="8"/>
  <c r="E44" i="8"/>
  <c r="E38" i="8"/>
  <c r="E45" i="8"/>
  <c r="E24" i="8"/>
  <c r="E49" i="8"/>
  <c r="D58" i="2" s="1"/>
  <c r="E50" i="8"/>
  <c r="E46" i="8"/>
  <c r="L58" i="2" l="1"/>
  <c r="M58" i="2"/>
  <c r="Q231" i="8"/>
  <c r="Q227" i="8"/>
  <c r="E227" i="8" s="1"/>
  <c r="D65" i="2" s="1"/>
  <c r="E18" i="20"/>
  <c r="D38" i="2"/>
  <c r="L105" i="13"/>
  <c r="M105" i="13" s="1"/>
  <c r="D54" i="2"/>
  <c r="L89" i="13"/>
  <c r="M89" i="13" s="1"/>
  <c r="D55" i="2"/>
  <c r="L114" i="13"/>
  <c r="M114" i="13" s="1"/>
  <c r="D37" i="2"/>
  <c r="L97" i="13"/>
  <c r="M97" i="13" s="1"/>
  <c r="D59" i="2"/>
  <c r="L116" i="13"/>
  <c r="M116" i="13" s="1"/>
  <c r="D47" i="2"/>
  <c r="L103" i="13"/>
  <c r="M103" i="13" s="1"/>
  <c r="D52" i="2"/>
  <c r="L84" i="13"/>
  <c r="M84" i="13" s="1"/>
  <c r="D33" i="2"/>
  <c r="L85" i="13"/>
  <c r="M85" i="13" s="1"/>
  <c r="F73" i="2"/>
  <c r="L100" i="13"/>
  <c r="M100" i="13" s="1"/>
  <c r="F58" i="2"/>
  <c r="L115" i="13"/>
  <c r="M115" i="13" s="1"/>
  <c r="D53" i="2"/>
  <c r="L90" i="13"/>
  <c r="M90" i="13" s="1"/>
  <c r="D74" i="2"/>
  <c r="F74" i="2" s="1"/>
  <c r="L96" i="13"/>
  <c r="M96" i="13" s="1"/>
  <c r="L118" i="13"/>
  <c r="M118" i="13" s="1"/>
  <c r="D18" i="2"/>
  <c r="E21" i="8"/>
  <c r="E51" i="8"/>
  <c r="L86" i="13" l="1"/>
  <c r="M86" i="13" s="1"/>
  <c r="F55" i="2"/>
  <c r="L55" i="2"/>
  <c r="M55" i="2"/>
  <c r="F47" i="2"/>
  <c r="L47" i="2"/>
  <c r="M47" i="2"/>
  <c r="Q235" i="8"/>
  <c r="E235" i="8" s="1"/>
  <c r="E231" i="8"/>
  <c r="E78" i="8"/>
  <c r="E84" i="8"/>
  <c r="D151" i="2" s="1"/>
  <c r="E239" i="8"/>
  <c r="F52" i="2"/>
  <c r="M52" i="2"/>
  <c r="L52" i="2"/>
  <c r="F59" i="2"/>
  <c r="L59" i="2"/>
  <c r="M59" i="2"/>
  <c r="F53" i="2"/>
  <c r="M53" i="2"/>
  <c r="L53" i="2"/>
  <c r="F54" i="2"/>
  <c r="L54" i="2"/>
  <c r="M54" i="2"/>
  <c r="F38" i="2"/>
  <c r="L38" i="2"/>
  <c r="M38" i="2"/>
  <c r="F37" i="2"/>
  <c r="M37" i="2"/>
  <c r="L37" i="2"/>
  <c r="F33" i="2"/>
  <c r="M33" i="2"/>
  <c r="L33" i="2"/>
  <c r="D60" i="2"/>
  <c r="D149" i="2"/>
  <c r="F65" i="2"/>
  <c r="O15" i="12"/>
  <c r="D148" i="2" l="1"/>
  <c r="D27" i="2"/>
  <c r="E17" i="20"/>
  <c r="E20" i="20" s="1"/>
  <c r="F60" i="2"/>
  <c r="G46" i="13"/>
  <c r="G57" i="13" s="1"/>
  <c r="D143" i="2"/>
  <c r="AC15" i="12"/>
  <c r="AD3" i="12" s="1"/>
  <c r="R15" i="12"/>
  <c r="T15" i="12" s="1"/>
  <c r="X15" i="12" l="1"/>
  <c r="Y15" i="12"/>
  <c r="AB15" i="12"/>
  <c r="L125" i="8"/>
  <c r="L127" i="8" s="1"/>
  <c r="L142" i="8" s="1"/>
  <c r="Q125" i="8"/>
  <c r="Q127" i="8" s="1"/>
  <c r="Q142" i="8" s="1"/>
  <c r="M125" i="8"/>
  <c r="M127" i="8" s="1"/>
  <c r="M142" i="8" s="1"/>
  <c r="P31" i="14"/>
  <c r="H31" i="14"/>
  <c r="N31" i="14"/>
  <c r="O125" i="8"/>
  <c r="O127" i="8" s="1"/>
  <c r="O142" i="8" s="1"/>
  <c r="P125" i="8"/>
  <c r="P127" i="8" s="1"/>
  <c r="P142" i="8" s="1"/>
  <c r="O31" i="14"/>
  <c r="U15" i="12"/>
  <c r="N125" i="8"/>
  <c r="N127" i="8" s="1"/>
  <c r="N142" i="8" s="1"/>
  <c r="J31" i="14"/>
  <c r="AD15" i="12" l="1"/>
  <c r="AE15" i="12" s="1"/>
  <c r="N252" i="8"/>
  <c r="N207" i="8"/>
  <c r="P252" i="8"/>
  <c r="P207" i="8"/>
  <c r="Q252" i="8"/>
  <c r="Q207" i="8"/>
  <c r="O252" i="8"/>
  <c r="O207" i="8"/>
  <c r="L252" i="8"/>
  <c r="L207" i="8"/>
  <c r="M252" i="8"/>
  <c r="V15" i="12"/>
  <c r="W15" i="12"/>
  <c r="M207" i="8" l="1"/>
  <c r="AD19" i="12"/>
  <c r="K125" i="8"/>
  <c r="K127" i="8" s="1"/>
  <c r="K142" i="8" s="1"/>
  <c r="J125" i="8"/>
  <c r="J127" i="8" s="1"/>
  <c r="J142" i="8" s="1"/>
  <c r="I125" i="8"/>
  <c r="I127" i="8" s="1"/>
  <c r="I142" i="8" s="1"/>
  <c r="H125" i="8"/>
  <c r="H127" i="8" s="1"/>
  <c r="H142" i="8" s="1"/>
  <c r="G125" i="8"/>
  <c r="G127" i="8" s="1"/>
  <c r="G142" i="8" s="1"/>
  <c r="AH15" i="12" l="1"/>
  <c r="AI15" i="12" s="1"/>
  <c r="AF15" i="12"/>
  <c r="AE3" i="12" s="1"/>
  <c r="H252" i="8"/>
  <c r="H207" i="8"/>
  <c r="I252" i="8"/>
  <c r="I207" i="8"/>
  <c r="J252" i="8"/>
  <c r="J207" i="8"/>
  <c r="G252" i="8"/>
  <c r="K252" i="8"/>
  <c r="K207" i="8"/>
  <c r="AE19" i="12"/>
  <c r="G20" i="11" s="1"/>
  <c r="D43" i="20" s="1"/>
  <c r="D46" i="20" s="1"/>
  <c r="K31" i="14"/>
  <c r="Q31" i="14"/>
  <c r="G23" i="11" l="1"/>
  <c r="G34" i="11" s="1"/>
  <c r="AI19" i="12"/>
  <c r="AH19" i="12"/>
  <c r="G35" i="11"/>
  <c r="E31" i="14"/>
  <c r="E43" i="20" l="1"/>
  <c r="E46" i="20" s="1"/>
  <c r="F125" i="8"/>
  <c r="E125" i="8" s="1"/>
  <c r="L137" i="13" l="1"/>
  <c r="M137" i="13" s="1"/>
  <c r="D119" i="2"/>
  <c r="D122" i="2" s="1"/>
  <c r="F127" i="8"/>
  <c r="G50" i="13" l="1"/>
  <c r="D167" i="2"/>
  <c r="F142" i="8"/>
  <c r="F207" i="8" s="1"/>
  <c r="E127" i="8"/>
  <c r="E142" i="8" s="1"/>
  <c r="E207" i="8" s="1"/>
  <c r="F252" i="8"/>
  <c r="D124" i="2"/>
  <c r="D126" i="2"/>
  <c r="G52" i="13" s="1"/>
  <c r="F122" i="2"/>
  <c r="E252" i="8" l="1"/>
  <c r="F126" i="2"/>
  <c r="F144" i="8"/>
  <c r="D31" i="14" l="1"/>
  <c r="I31" i="14"/>
  <c r="G144" i="8" l="1"/>
  <c r="H144" i="8" s="1"/>
  <c r="I144" i="8" s="1"/>
  <c r="J144" i="8" s="1"/>
  <c r="K144" i="8" s="1"/>
  <c r="L144" i="8" s="1"/>
  <c r="M144" i="8" s="1"/>
  <c r="N144" i="8" s="1"/>
  <c r="O144" i="8" s="1"/>
  <c r="P144" i="8" s="1"/>
  <c r="Q144" i="8" s="1"/>
  <c r="G207" i="8"/>
  <c r="D177" i="2" l="1"/>
  <c r="N15" i="12" l="1"/>
  <c r="S15" i="12" s="1"/>
  <c r="N18" i="12"/>
  <c r="S18" i="12" s="1"/>
  <c r="AA18" i="12" l="1"/>
  <c r="Z18" i="12"/>
  <c r="AA15" i="12"/>
  <c r="Z15" i="12"/>
  <c r="K74" i="12" l="1"/>
  <c r="K71" i="12"/>
  <c r="AB71" i="12" s="1"/>
  <c r="K73" i="12"/>
  <c r="K72" i="12"/>
  <c r="K65" i="12"/>
  <c r="K64" i="12"/>
  <c r="K63" i="12"/>
  <c r="K66" i="12"/>
  <c r="K56" i="12"/>
  <c r="AB56" i="12" s="1"/>
  <c r="N56" i="12" s="1"/>
  <c r="S56" i="12" s="1"/>
  <c r="K55" i="12"/>
  <c r="K57" i="12"/>
  <c r="K58" i="12"/>
  <c r="K34" i="12"/>
  <c r="K33" i="12"/>
  <c r="K31" i="12"/>
  <c r="AB31" i="12" s="1"/>
  <c r="N31" i="12" s="1"/>
  <c r="S31" i="12" s="1"/>
  <c r="K32" i="12"/>
  <c r="K25" i="12"/>
  <c r="K24" i="12"/>
  <c r="K23" i="12"/>
  <c r="K26" i="12"/>
  <c r="N57" i="14" l="1"/>
  <c r="O59" i="14"/>
  <c r="P59" i="14"/>
  <c r="I60" i="14"/>
  <c r="J53" i="14"/>
  <c r="H58" i="14"/>
  <c r="O52" i="14"/>
  <c r="N53" i="14"/>
  <c r="P56" i="14"/>
  <c r="I57" i="14"/>
  <c r="O53" i="14"/>
  <c r="J55" i="14"/>
  <c r="N58" i="14"/>
  <c r="O61" i="14"/>
  <c r="P61" i="14"/>
  <c r="I62" i="14"/>
  <c r="N54" i="14"/>
  <c r="J63" i="14"/>
  <c r="O54" i="14"/>
  <c r="P52" i="14"/>
  <c r="J62" i="14"/>
  <c r="O57" i="14"/>
  <c r="I58" i="14"/>
  <c r="H60" i="14"/>
  <c r="O63" i="14"/>
  <c r="P63" i="14"/>
  <c r="J52" i="14"/>
  <c r="J61" i="14"/>
  <c r="P62" i="14"/>
  <c r="H61" i="14"/>
  <c r="O56" i="14"/>
  <c r="P60" i="14"/>
  <c r="I61" i="14"/>
  <c r="O62" i="14"/>
  <c r="N63" i="14"/>
  <c r="N61" i="14"/>
  <c r="H54" i="14"/>
  <c r="H63" i="14"/>
  <c r="J54" i="14"/>
  <c r="O58" i="14"/>
  <c r="H57" i="14"/>
  <c r="P53" i="14"/>
  <c r="J58" i="14"/>
  <c r="P54" i="14"/>
  <c r="N55" i="14"/>
  <c r="P55" i="14"/>
  <c r="J60" i="14"/>
  <c r="J59" i="14"/>
  <c r="I53" i="14"/>
  <c r="I55" i="14"/>
  <c r="P57" i="14"/>
  <c r="I63" i="14"/>
  <c r="H55" i="14"/>
  <c r="H62" i="14"/>
  <c r="I52" i="14"/>
  <c r="J56" i="14"/>
  <c r="N56" i="14"/>
  <c r="I59" i="14"/>
  <c r="N62" i="14"/>
  <c r="O60" i="14"/>
  <c r="H59" i="14"/>
  <c r="J57" i="14"/>
  <c r="P58" i="14"/>
  <c r="H53" i="14"/>
  <c r="I54" i="14"/>
  <c r="O55" i="14"/>
  <c r="I56" i="14"/>
  <c r="H56" i="14"/>
  <c r="N60" i="14"/>
  <c r="N59" i="14"/>
  <c r="H52" i="14"/>
  <c r="Q60" i="14"/>
  <c r="Q57" i="14"/>
  <c r="Q62" i="14"/>
  <c r="K61" i="14"/>
  <c r="K62" i="14"/>
  <c r="K60" i="14"/>
  <c r="K59" i="14"/>
  <c r="Q56" i="14"/>
  <c r="Q58" i="14"/>
  <c r="K58" i="14"/>
  <c r="N52" i="14"/>
  <c r="Q63" i="14"/>
  <c r="Q55" i="14"/>
  <c r="Q61" i="14"/>
  <c r="K63" i="14"/>
  <c r="K56" i="14"/>
  <c r="K55" i="14"/>
  <c r="K54" i="14"/>
  <c r="Q53" i="14"/>
  <c r="K52" i="14"/>
  <c r="Q52" i="14"/>
  <c r="Q59" i="14"/>
  <c r="Q54" i="14"/>
  <c r="K53" i="14"/>
  <c r="K57" i="14"/>
  <c r="AA56" i="12"/>
  <c r="Z56" i="12"/>
  <c r="AB63" i="12"/>
  <c r="N63" i="12"/>
  <c r="S63" i="12" s="1"/>
  <c r="N71" i="12"/>
  <c r="S71" i="12" s="1"/>
  <c r="Z71" i="12" s="1"/>
  <c r="Z31" i="12"/>
  <c r="AA31" i="12"/>
  <c r="AB55" i="12"/>
  <c r="N55" i="12" s="1"/>
  <c r="S55" i="12" s="1"/>
  <c r="AB16" i="12"/>
  <c r="N16" i="12" s="1"/>
  <c r="D55" i="14" l="1"/>
  <c r="I181" i="8" s="1"/>
  <c r="Q64" i="14"/>
  <c r="D56" i="14"/>
  <c r="J181" i="8" s="1"/>
  <c r="D53" i="14"/>
  <c r="G181" i="8" s="1"/>
  <c r="AA71" i="12"/>
  <c r="D59" i="14"/>
  <c r="M181" i="8" s="1"/>
  <c r="P64" i="14"/>
  <c r="O36" i="14"/>
  <c r="J45" i="14"/>
  <c r="O44" i="14"/>
  <c r="N41" i="14"/>
  <c r="Q40" i="14"/>
  <c r="Q43" i="14"/>
  <c r="I35" i="14"/>
  <c r="N35" i="14"/>
  <c r="I44" i="14"/>
  <c r="P39" i="14"/>
  <c r="Q45" i="14"/>
  <c r="K41" i="14"/>
  <c r="H36" i="14"/>
  <c r="O45" i="14"/>
  <c r="Q41" i="14"/>
  <c r="O40" i="14"/>
  <c r="O37" i="14"/>
  <c r="I43" i="14"/>
  <c r="H39" i="14"/>
  <c r="P35" i="14"/>
  <c r="K42" i="14"/>
  <c r="K46" i="14"/>
  <c r="J43" i="14"/>
  <c r="I39" i="14"/>
  <c r="H44" i="14"/>
  <c r="O39" i="14"/>
  <c r="P45" i="14"/>
  <c r="J44" i="14"/>
  <c r="Q38" i="14"/>
  <c r="K37" i="14"/>
  <c r="O35" i="14"/>
  <c r="P41" i="14"/>
  <c r="K44" i="14"/>
  <c r="J36" i="14"/>
  <c r="J35" i="14"/>
  <c r="Q39" i="14"/>
  <c r="K39" i="14"/>
  <c r="P37" i="14"/>
  <c r="H43" i="14"/>
  <c r="J46" i="14"/>
  <c r="P42" i="14"/>
  <c r="N44" i="14"/>
  <c r="H35" i="14"/>
  <c r="O43" i="14"/>
  <c r="I42" i="14"/>
  <c r="I41" i="14"/>
  <c r="P40" i="14"/>
  <c r="O46" i="14"/>
  <c r="H46" i="14"/>
  <c r="J40" i="14"/>
  <c r="J41" i="14"/>
  <c r="N38" i="14"/>
  <c r="N36" i="14"/>
  <c r="Q46" i="14"/>
  <c r="H37" i="14"/>
  <c r="Q42" i="14"/>
  <c r="I45" i="14"/>
  <c r="N37" i="14"/>
  <c r="N43" i="14"/>
  <c r="Q44" i="14"/>
  <c r="H38" i="14"/>
  <c r="Q35" i="14"/>
  <c r="K40" i="14"/>
  <c r="O42" i="14"/>
  <c r="K38" i="14"/>
  <c r="I36" i="14"/>
  <c r="H40" i="14"/>
  <c r="Q36" i="14"/>
  <c r="I38" i="14"/>
  <c r="I37" i="14"/>
  <c r="J38" i="14"/>
  <c r="P36" i="14"/>
  <c r="K35" i="14"/>
  <c r="I40" i="14"/>
  <c r="I46" i="14"/>
  <c r="J39" i="14"/>
  <c r="P43" i="14"/>
  <c r="O38" i="14"/>
  <c r="H42" i="14"/>
  <c r="J42" i="14"/>
  <c r="K45" i="14"/>
  <c r="K43" i="14"/>
  <c r="N39" i="14"/>
  <c r="P46" i="14"/>
  <c r="P44" i="14"/>
  <c r="N42" i="14"/>
  <c r="J37" i="14"/>
  <c r="H41" i="14"/>
  <c r="N40" i="14"/>
  <c r="H45" i="14"/>
  <c r="Q37" i="14"/>
  <c r="N45" i="14"/>
  <c r="O41" i="14"/>
  <c r="K36" i="14"/>
  <c r="P38" i="14"/>
  <c r="N46" i="14"/>
  <c r="K64" i="14"/>
  <c r="H64" i="14"/>
  <c r="D52" i="14"/>
  <c r="I64" i="14"/>
  <c r="J64" i="14"/>
  <c r="O64" i="14"/>
  <c r="D62" i="14"/>
  <c r="P181" i="8" s="1"/>
  <c r="D63" i="14"/>
  <c r="Q181" i="8" s="1"/>
  <c r="D61" i="14"/>
  <c r="O181" i="8" s="1"/>
  <c r="D58" i="14"/>
  <c r="L181" i="8" s="1"/>
  <c r="Z63" i="12"/>
  <c r="Z76" i="12" s="1"/>
  <c r="E8" i="5" s="1"/>
  <c r="E12" i="5" s="1"/>
  <c r="G48" i="11" s="1"/>
  <c r="AA63" i="12"/>
  <c r="AA76" i="12" s="1"/>
  <c r="N64" i="14"/>
  <c r="D54" i="14"/>
  <c r="H181" i="8" s="1"/>
  <c r="D60" i="14"/>
  <c r="N181" i="8" s="1"/>
  <c r="D57" i="14"/>
  <c r="K181" i="8" s="1"/>
  <c r="AA55" i="12"/>
  <c r="Z55" i="12"/>
  <c r="S16" i="12"/>
  <c r="D45" i="14" l="1"/>
  <c r="P182" i="8" s="1"/>
  <c r="P189" i="8" s="1"/>
  <c r="D72" i="20"/>
  <c r="D78" i="20" s="1"/>
  <c r="D80" i="20" s="1"/>
  <c r="E72" i="20"/>
  <c r="G54" i="11"/>
  <c r="Q47" i="14"/>
  <c r="K47" i="14"/>
  <c r="D38" i="14"/>
  <c r="I182" i="8" s="1"/>
  <c r="I189" i="8" s="1"/>
  <c r="D46" i="14"/>
  <c r="Q182" i="8" s="1"/>
  <c r="D44" i="14"/>
  <c r="O182" i="8" s="1"/>
  <c r="D36" i="14"/>
  <c r="G182" i="8" s="1"/>
  <c r="G189" i="8" s="1"/>
  <c r="P47" i="14"/>
  <c r="N47" i="14"/>
  <c r="D41" i="14"/>
  <c r="L182" i="8" s="1"/>
  <c r="F181" i="8"/>
  <c r="D64" i="14"/>
  <c r="D42" i="14"/>
  <c r="M182" i="8" s="1"/>
  <c r="M189" i="8" s="1"/>
  <c r="D40" i="14"/>
  <c r="K182" i="8" s="1"/>
  <c r="D37" i="14"/>
  <c r="H182" i="8" s="1"/>
  <c r="H47" i="14"/>
  <c r="D35" i="14"/>
  <c r="D43" i="14"/>
  <c r="N182" i="8" s="1"/>
  <c r="J47" i="14"/>
  <c r="O47" i="14"/>
  <c r="D39" i="14"/>
  <c r="J182" i="8" s="1"/>
  <c r="I47" i="14"/>
  <c r="AA16" i="12"/>
  <c r="Z16" i="12"/>
  <c r="G57" i="11" l="1"/>
  <c r="E100" i="24"/>
  <c r="AG75" i="25" s="1"/>
  <c r="J189" i="8"/>
  <c r="O189" i="8"/>
  <c r="M192" i="8"/>
  <c r="M208" i="8" s="1"/>
  <c r="I192" i="8"/>
  <c r="I208" i="8" s="1"/>
  <c r="L189" i="8"/>
  <c r="Q189" i="8"/>
  <c r="P192" i="8"/>
  <c r="E181" i="8"/>
  <c r="D219" i="2" s="1"/>
  <c r="G192" i="8"/>
  <c r="G208" i="8" s="1"/>
  <c r="H189" i="8"/>
  <c r="N189" i="8"/>
  <c r="K189" i="8"/>
  <c r="G60" i="11"/>
  <c r="F182" i="8"/>
  <c r="F189" i="8" s="1"/>
  <c r="D47" i="14"/>
  <c r="AB47" i="12"/>
  <c r="N3" i="14" s="1"/>
  <c r="H14" i="14"/>
  <c r="K192" i="8" l="1"/>
  <c r="K208" i="8" s="1"/>
  <c r="N192" i="8"/>
  <c r="N208" i="8" s="1"/>
  <c r="H192" i="8"/>
  <c r="H208" i="8" s="1"/>
  <c r="Q192" i="8"/>
  <c r="Q208" i="8" s="1"/>
  <c r="O192" i="8"/>
  <c r="O208" i="8" s="1"/>
  <c r="L192" i="8"/>
  <c r="J192" i="8"/>
  <c r="J208" i="8" s="1"/>
  <c r="E189" i="8"/>
  <c r="P208" i="8"/>
  <c r="L208" i="8"/>
  <c r="F192" i="8"/>
  <c r="E182" i="8"/>
  <c r="D220" i="2" s="1"/>
  <c r="D226" i="2" s="1"/>
  <c r="N47" i="12"/>
  <c r="S47" i="12" s="1"/>
  <c r="H13" i="14"/>
  <c r="Q12" i="14"/>
  <c r="Q10" i="14"/>
  <c r="K14" i="14"/>
  <c r="Q13" i="14"/>
  <c r="Q9" i="14"/>
  <c r="K7" i="14"/>
  <c r="Q14" i="14"/>
  <c r="Q11" i="14"/>
  <c r="K5" i="14"/>
  <c r="N14" i="14"/>
  <c r="N13" i="14"/>
  <c r="N12" i="14"/>
  <c r="N11" i="14"/>
  <c r="N10" i="14"/>
  <c r="N9" i="14"/>
  <c r="Q7" i="14"/>
  <c r="Q5" i="14"/>
  <c r="K13" i="14"/>
  <c r="K12" i="14"/>
  <c r="K11" i="14"/>
  <c r="K10" i="14"/>
  <c r="K9" i="14"/>
  <c r="K8" i="14"/>
  <c r="K6" i="14"/>
  <c r="K4" i="14"/>
  <c r="H12" i="14"/>
  <c r="H11" i="14"/>
  <c r="H10" i="14"/>
  <c r="H9" i="14"/>
  <c r="Q8" i="14"/>
  <c r="Q6" i="14"/>
  <c r="Q4" i="14"/>
  <c r="P14" i="14"/>
  <c r="P13" i="14"/>
  <c r="J12" i="14"/>
  <c r="P12" i="14"/>
  <c r="J11" i="14"/>
  <c r="P11" i="14"/>
  <c r="J10" i="14"/>
  <c r="P10" i="14"/>
  <c r="J9" i="14"/>
  <c r="P9" i="14"/>
  <c r="J8" i="14"/>
  <c r="P8" i="14"/>
  <c r="J7" i="14"/>
  <c r="P7" i="14"/>
  <c r="J6" i="14"/>
  <c r="P6" i="14"/>
  <c r="J5" i="14"/>
  <c r="P5" i="14"/>
  <c r="J4" i="14"/>
  <c r="P4" i="14"/>
  <c r="J3" i="14"/>
  <c r="P3" i="14"/>
  <c r="K3" i="14"/>
  <c r="Q3" i="14"/>
  <c r="J14" i="14"/>
  <c r="J13" i="14"/>
  <c r="I14" i="14"/>
  <c r="O14" i="14"/>
  <c r="I13" i="14"/>
  <c r="O13" i="14"/>
  <c r="I12" i="14"/>
  <c r="O12" i="14"/>
  <c r="I11" i="14"/>
  <c r="O11" i="14"/>
  <c r="I10" i="14"/>
  <c r="O10" i="14"/>
  <c r="I9" i="14"/>
  <c r="O9" i="14"/>
  <c r="I8" i="14"/>
  <c r="O8" i="14"/>
  <c r="I7" i="14"/>
  <c r="O7" i="14"/>
  <c r="I6" i="14"/>
  <c r="O6" i="14"/>
  <c r="I5" i="14"/>
  <c r="O5" i="14"/>
  <c r="I4" i="14"/>
  <c r="O4" i="14"/>
  <c r="I3" i="14"/>
  <c r="O3" i="14"/>
  <c r="H8" i="14"/>
  <c r="D8" i="14" s="1"/>
  <c r="K82" i="8" s="1"/>
  <c r="N8" i="14"/>
  <c r="H7" i="14"/>
  <c r="N7" i="14"/>
  <c r="H6" i="14"/>
  <c r="N6" i="14"/>
  <c r="H5" i="14"/>
  <c r="N5" i="14"/>
  <c r="H4" i="14"/>
  <c r="N4" i="14"/>
  <c r="H3" i="14"/>
  <c r="F208" i="8" l="1"/>
  <c r="F194" i="8"/>
  <c r="G194" i="8" s="1"/>
  <c r="H194" i="8" s="1"/>
  <c r="I194" i="8" s="1"/>
  <c r="J194" i="8" s="1"/>
  <c r="K194" i="8" s="1"/>
  <c r="L194" i="8" s="1"/>
  <c r="M194" i="8" s="1"/>
  <c r="N194" i="8" s="1"/>
  <c r="O194" i="8" s="1"/>
  <c r="P194" i="8" s="1"/>
  <c r="Q194" i="8" s="1"/>
  <c r="E192" i="8"/>
  <c r="E208" i="8" s="1"/>
  <c r="AA47" i="12"/>
  <c r="AA3" i="12" s="1"/>
  <c r="Z47" i="12"/>
  <c r="Z3" i="12" s="1"/>
  <c r="B22" i="5" s="1"/>
  <c r="I15" i="14"/>
  <c r="K15" i="14"/>
  <c r="J15" i="14"/>
  <c r="D6" i="14"/>
  <c r="I82" i="8" s="1"/>
  <c r="E7" i="14"/>
  <c r="E12" i="14"/>
  <c r="D5" i="14"/>
  <c r="H82" i="8" s="1"/>
  <c r="E13" i="14"/>
  <c r="E9" i="14"/>
  <c r="E8" i="14"/>
  <c r="E10" i="14"/>
  <c r="M83" i="8" s="1"/>
  <c r="Q15" i="14"/>
  <c r="D12" i="14"/>
  <c r="O82" i="8" s="1"/>
  <c r="D9" i="14"/>
  <c r="L82" i="8" s="1"/>
  <c r="D11" i="14"/>
  <c r="N82" i="8" s="1"/>
  <c r="D10" i="14"/>
  <c r="M82" i="8" s="1"/>
  <c r="E5" i="14"/>
  <c r="E11" i="14"/>
  <c r="D7" i="14"/>
  <c r="J82" i="8" s="1"/>
  <c r="D4" i="14"/>
  <c r="G82" i="8" s="1"/>
  <c r="D14" i="14"/>
  <c r="Q82" i="8" s="1"/>
  <c r="D13" i="14"/>
  <c r="P82" i="8" s="1"/>
  <c r="E6" i="14"/>
  <c r="E3" i="14"/>
  <c r="F83" i="8" s="1"/>
  <c r="E14" i="14"/>
  <c r="H15" i="14"/>
  <c r="O15" i="14"/>
  <c r="N15" i="14"/>
  <c r="D3" i="14"/>
  <c r="F82" i="8" s="1"/>
  <c r="P15" i="14"/>
  <c r="E4" i="14"/>
  <c r="T164" i="8" l="1"/>
  <c r="T166" i="8" s="1"/>
  <c r="AA164" i="8"/>
  <c r="AA166" i="8" s="1"/>
  <c r="M85" i="8"/>
  <c r="F85" i="8"/>
  <c r="Q63" i="8"/>
  <c r="Q65" i="8" s="1"/>
  <c r="AE159" i="8" s="1"/>
  <c r="AE161" i="8" s="1"/>
  <c r="Q83" i="8"/>
  <c r="Q85" i="8" s="1"/>
  <c r="H63" i="8"/>
  <c r="H65" i="8" s="1"/>
  <c r="H83" i="8"/>
  <c r="H85" i="8" s="1"/>
  <c r="L63" i="8"/>
  <c r="L65" i="8" s="1"/>
  <c r="L83" i="8"/>
  <c r="L85" i="8" s="1"/>
  <c r="J63" i="8"/>
  <c r="J65" i="8" s="1"/>
  <c r="J83" i="8"/>
  <c r="J85" i="8" s="1"/>
  <c r="G63" i="8"/>
  <c r="G65" i="8" s="1"/>
  <c r="G83" i="8"/>
  <c r="G85" i="8" s="1"/>
  <c r="I63" i="8"/>
  <c r="I65" i="8" s="1"/>
  <c r="I83" i="8"/>
  <c r="I85" i="8" s="1"/>
  <c r="P63" i="8"/>
  <c r="P65" i="8" s="1"/>
  <c r="P83" i="8"/>
  <c r="P85" i="8" s="1"/>
  <c r="N63" i="8"/>
  <c r="N65" i="8" s="1"/>
  <c r="N83" i="8"/>
  <c r="N85" i="8" s="1"/>
  <c r="N88" i="8" s="1"/>
  <c r="K63" i="8"/>
  <c r="K83" i="8"/>
  <c r="O63" i="8"/>
  <c r="O65" i="8" s="1"/>
  <c r="O83" i="8"/>
  <c r="AC164" i="8" s="1"/>
  <c r="AC166" i="8" s="1"/>
  <c r="K65" i="8"/>
  <c r="E82" i="8"/>
  <c r="B26" i="5"/>
  <c r="D15" i="14"/>
  <c r="E15" i="14"/>
  <c r="M63" i="8"/>
  <c r="AB164" i="8" l="1"/>
  <c r="AB166" i="8" s="1"/>
  <c r="W164" i="8"/>
  <c r="W166" i="8" s="1"/>
  <c r="X164" i="8"/>
  <c r="X166" i="8" s="1"/>
  <c r="U164" i="8"/>
  <c r="U166" i="8" s="1"/>
  <c r="AE164" i="8"/>
  <c r="AE166" i="8" s="1"/>
  <c r="K85" i="8"/>
  <c r="K88" i="8" s="1"/>
  <c r="Y164" i="8"/>
  <c r="Y166" i="8" s="1"/>
  <c r="V164" i="8"/>
  <c r="V166" i="8" s="1"/>
  <c r="AD164" i="8"/>
  <c r="AD166" i="8" s="1"/>
  <c r="Z164" i="8"/>
  <c r="Z166" i="8" s="1"/>
  <c r="K242" i="8"/>
  <c r="Y159" i="8"/>
  <c r="Y161" i="8" s="1"/>
  <c r="P242" i="8"/>
  <c r="AD159" i="8"/>
  <c r="AD161" i="8" s="1"/>
  <c r="G242" i="8"/>
  <c r="U159" i="8"/>
  <c r="U161" i="8" s="1"/>
  <c r="L242" i="8"/>
  <c r="Z159" i="8"/>
  <c r="Z161" i="8" s="1"/>
  <c r="O242" i="8"/>
  <c r="AC159" i="8"/>
  <c r="AC161" i="8" s="1"/>
  <c r="N242" i="8"/>
  <c r="AB159" i="8"/>
  <c r="AB161" i="8" s="1"/>
  <c r="I242" i="8"/>
  <c r="W159" i="8"/>
  <c r="W161" i="8" s="1"/>
  <c r="J242" i="8"/>
  <c r="X159" i="8"/>
  <c r="X161" i="8" s="1"/>
  <c r="H242" i="8"/>
  <c r="V159" i="8"/>
  <c r="V161" i="8" s="1"/>
  <c r="P88" i="8"/>
  <c r="L88" i="8"/>
  <c r="Q88" i="8"/>
  <c r="E58" i="8"/>
  <c r="D69" i="2" s="1"/>
  <c r="F69" i="2" s="1"/>
  <c r="H88" i="8"/>
  <c r="J88" i="8"/>
  <c r="I88" i="8"/>
  <c r="E83" i="8"/>
  <c r="O85" i="8"/>
  <c r="O88" i="8" s="1"/>
  <c r="G88" i="8"/>
  <c r="M65" i="8"/>
  <c r="M88" i="8"/>
  <c r="E88" i="24"/>
  <c r="G12" i="11"/>
  <c r="D37" i="20" s="1"/>
  <c r="F35" i="25"/>
  <c r="H35" i="25" s="1"/>
  <c r="C74" i="2" s="1"/>
  <c r="F34" i="23"/>
  <c r="H34" i="23" s="1"/>
  <c r="H35" i="23" s="1"/>
  <c r="H46" i="23" s="1"/>
  <c r="H48" i="23" s="1"/>
  <c r="Y113" i="25" l="1"/>
  <c r="Z113" i="25" s="1"/>
  <c r="Z114" i="25" s="1"/>
  <c r="Z115" i="25" s="1"/>
  <c r="Z125" i="25" s="1"/>
  <c r="AG70" i="25" s="1"/>
  <c r="AG79" i="25" s="1"/>
  <c r="M242" i="8"/>
  <c r="AA159" i="8"/>
  <c r="AA161" i="8" s="1"/>
  <c r="F63" i="8"/>
  <c r="F88" i="8" s="1"/>
  <c r="E85" i="8"/>
  <c r="E74" i="2"/>
  <c r="C75" i="2"/>
  <c r="H36" i="25"/>
  <c r="H48" i="25" s="1"/>
  <c r="H50" i="25" s="1"/>
  <c r="D240" i="8"/>
  <c r="D242" i="8" s="1"/>
  <c r="H37" i="23"/>
  <c r="E63" i="8" l="1"/>
  <c r="E88" i="8" s="1"/>
  <c r="E206" i="8" s="1"/>
  <c r="E209" i="8" s="1"/>
  <c r="E221" i="8" s="1"/>
  <c r="F65" i="8"/>
  <c r="H38" i="25"/>
  <c r="E75" i="2"/>
  <c r="C144" i="2"/>
  <c r="C77" i="2"/>
  <c r="C23" i="2"/>
  <c r="C30" i="2" s="1"/>
  <c r="C146" i="2"/>
  <c r="D225" i="8"/>
  <c r="E65" i="8" l="1"/>
  <c r="T159" i="8"/>
  <c r="T161" i="8" s="1"/>
  <c r="E197" i="8"/>
  <c r="F242" i="8"/>
  <c r="F90" i="8"/>
  <c r="F199" i="8"/>
  <c r="F197" i="8"/>
  <c r="F206" i="8"/>
  <c r="D34" i="19"/>
  <c r="D33" i="19"/>
  <c r="C79" i="2"/>
  <c r="D24" i="19" s="1"/>
  <c r="D35" i="19"/>
  <c r="E30" i="2"/>
  <c r="D32" i="19"/>
  <c r="C142" i="2"/>
  <c r="C145" i="2" s="1"/>
  <c r="F209" i="8" l="1"/>
  <c r="C158" i="2"/>
  <c r="C229" i="2" s="1"/>
  <c r="C1" i="2" s="1"/>
  <c r="D23" i="19"/>
  <c r="D36" i="19"/>
  <c r="D29" i="19"/>
  <c r="E79" i="2"/>
  <c r="D26" i="19"/>
  <c r="F221" i="8" l="1"/>
  <c r="G8" i="8" s="1"/>
  <c r="F222" i="8"/>
  <c r="G206" i="8"/>
  <c r="G197" i="8"/>
  <c r="G90" i="8"/>
  <c r="G199" i="8" l="1"/>
  <c r="G209" i="8" s="1"/>
  <c r="G205" i="8"/>
  <c r="G221" i="8" l="1"/>
  <c r="H8" i="8" s="1"/>
  <c r="G222" i="8"/>
  <c r="H199" i="8" l="1"/>
  <c r="H209" i="8" s="1"/>
  <c r="H205" i="8"/>
  <c r="H206" i="8"/>
  <c r="H197" i="8"/>
  <c r="H90" i="8"/>
  <c r="H216" i="8" l="1"/>
  <c r="H218" i="8" s="1"/>
  <c r="I197" i="8"/>
  <c r="I206" i="8"/>
  <c r="I90" i="8"/>
  <c r="H217" i="8" l="1"/>
  <c r="H219" i="8" l="1"/>
  <c r="I212" i="8" s="1"/>
  <c r="H221" i="8"/>
  <c r="I8" i="8" s="1"/>
  <c r="H222" i="8"/>
  <c r="I199" i="8" l="1"/>
  <c r="I209" i="8" s="1"/>
  <c r="I205" i="8"/>
  <c r="W213" i="8"/>
  <c r="W214" i="8" s="1"/>
  <c r="J206" i="8"/>
  <c r="J197" i="8"/>
  <c r="J90" i="8"/>
  <c r="AH43" i="12"/>
  <c r="AD51" i="12"/>
  <c r="AH35" i="12"/>
  <c r="AH59" i="12"/>
  <c r="AH51" i="12"/>
  <c r="AH75" i="12"/>
  <c r="E76" i="20" s="1"/>
  <c r="AH67" i="12"/>
  <c r="E73" i="20" s="1"/>
  <c r="AH27" i="12"/>
  <c r="AD27" i="12"/>
  <c r="I216" i="8" l="1"/>
  <c r="I218" i="8" s="1"/>
  <c r="E78" i="20"/>
  <c r="E80" i="20" s="1"/>
  <c r="AD1" i="12"/>
  <c r="G9" i="11" s="1"/>
  <c r="D34" i="20" s="1"/>
  <c r="D40" i="20" s="1"/>
  <c r="D55" i="20" s="1"/>
  <c r="D57" i="20" s="1"/>
  <c r="AH1" i="12"/>
  <c r="E34" i="20" s="1"/>
  <c r="I217" i="8" l="1"/>
  <c r="I219" i="8" s="1"/>
  <c r="J212" i="8" s="1"/>
  <c r="X213" i="8" s="1"/>
  <c r="X214" i="8" s="1"/>
  <c r="K197" i="8"/>
  <c r="K206" i="8"/>
  <c r="K90" i="8"/>
  <c r="D25" i="19"/>
  <c r="G17" i="11"/>
  <c r="C44" i="11" s="1"/>
  <c r="D13" i="19" s="1"/>
  <c r="D82" i="20"/>
  <c r="I221" i="8" l="1"/>
  <c r="J8" i="8" s="1"/>
  <c r="I222" i="8"/>
  <c r="G33" i="11"/>
  <c r="G36" i="11" s="1"/>
  <c r="G39" i="11" s="1"/>
  <c r="G40" i="11" l="1"/>
  <c r="F45" i="11" s="1"/>
  <c r="D20" i="19" s="1"/>
  <c r="J199" i="8"/>
  <c r="J209" i="8" s="1"/>
  <c r="J216" i="8" s="1"/>
  <c r="J205" i="8"/>
  <c r="L197" i="8"/>
  <c r="L206" i="8"/>
  <c r="L90" i="8"/>
  <c r="C45" i="11"/>
  <c r="D14" i="19" s="1"/>
  <c r="D15" i="19" s="1"/>
  <c r="F44" i="11"/>
  <c r="D18" i="19" s="1"/>
  <c r="G59" i="11"/>
  <c r="G61" i="11" s="1"/>
  <c r="AG68" i="25" s="1"/>
  <c r="AG84" i="25" s="1"/>
  <c r="J217" i="8" l="1"/>
  <c r="J218" i="8"/>
  <c r="D63" i="11"/>
  <c r="G62" i="11"/>
  <c r="AG85" i="25" s="1"/>
  <c r="D19" i="19"/>
  <c r="AE86" i="25" l="1"/>
  <c r="AG86" i="25"/>
  <c r="J219" i="8"/>
  <c r="K212" i="8" s="1"/>
  <c r="J222" i="8"/>
  <c r="J221" i="8"/>
  <c r="K8" i="8" s="1"/>
  <c r="N197" i="8"/>
  <c r="M206" i="8"/>
  <c r="M197" i="8"/>
  <c r="M90" i="8"/>
  <c r="K199" i="8" l="1"/>
  <c r="K209" i="8" s="1"/>
  <c r="K205" i="8"/>
  <c r="Y213" i="8"/>
  <c r="Y214" i="8" s="1"/>
  <c r="N206" i="8"/>
  <c r="N90" i="8"/>
  <c r="W60" i="13"/>
  <c r="K216" i="8" l="1"/>
  <c r="K217" i="8" l="1"/>
  <c r="K218" i="8"/>
  <c r="O206" i="8"/>
  <c r="O197" i="8"/>
  <c r="O90" i="8"/>
  <c r="K222" i="8" l="1"/>
  <c r="K219" i="8"/>
  <c r="L212" i="8" s="1"/>
  <c r="K221" i="8"/>
  <c r="L8" i="8" s="1"/>
  <c r="L199" i="8" l="1"/>
  <c r="L209" i="8" s="1"/>
  <c r="L205" i="8"/>
  <c r="Z213" i="8"/>
  <c r="Z214" i="8" s="1"/>
  <c r="L216" i="8" l="1"/>
  <c r="P206" i="8"/>
  <c r="P197" i="8"/>
  <c r="P90" i="8"/>
  <c r="L217" i="8" l="1"/>
  <c r="L218" i="8"/>
  <c r="Q197" i="8"/>
  <c r="Q206" i="8"/>
  <c r="Q90" i="8"/>
  <c r="L222" i="8" l="1"/>
  <c r="L219" i="8"/>
  <c r="M212" i="8" s="1"/>
  <c r="L221" i="8"/>
  <c r="M8" i="8" s="1"/>
  <c r="M199" i="8" l="1"/>
  <c r="M209" i="8" s="1"/>
  <c r="M205" i="8"/>
  <c r="AA213" i="8"/>
  <c r="AA214" i="8" s="1"/>
  <c r="M216" i="8" l="1"/>
  <c r="M217" i="8" l="1"/>
  <c r="M218" i="8"/>
  <c r="M222" i="8" l="1"/>
  <c r="M219" i="8"/>
  <c r="N212" i="8" s="1"/>
  <c r="M221" i="8"/>
  <c r="N8" i="8" s="1"/>
  <c r="N199" i="8" l="1"/>
  <c r="N209" i="8" s="1"/>
  <c r="N205" i="8"/>
  <c r="AB213" i="8"/>
  <c r="AB214" i="8" s="1"/>
  <c r="N216" i="8" l="1"/>
  <c r="N217" i="8" l="1"/>
  <c r="N218" i="8"/>
  <c r="N222" i="8" l="1"/>
  <c r="N219" i="8"/>
  <c r="O212" i="8" s="1"/>
  <c r="N221" i="8"/>
  <c r="O8" i="8" s="1"/>
  <c r="O199" i="8" l="1"/>
  <c r="O209" i="8" s="1"/>
  <c r="O205" i="8"/>
  <c r="AC213" i="8"/>
  <c r="AC214" i="8" s="1"/>
  <c r="O216" i="8" l="1"/>
  <c r="O217" i="8" s="1"/>
  <c r="O222" i="8" s="1"/>
  <c r="O221" i="8" l="1"/>
  <c r="P8" i="8" s="1"/>
  <c r="O219" i="8"/>
  <c r="P212" i="8" s="1"/>
  <c r="O218" i="8"/>
  <c r="P199" i="8" l="1"/>
  <c r="P209" i="8" s="1"/>
  <c r="P205" i="8"/>
  <c r="AD213" i="8"/>
  <c r="AD214" i="8" s="1"/>
  <c r="P216" i="8" l="1"/>
  <c r="P217" i="8" s="1"/>
  <c r="P221" i="8" l="1"/>
  <c r="Q8" i="8" s="1"/>
  <c r="P219" i="8"/>
  <c r="Q212" i="8" s="1"/>
  <c r="P222" i="8"/>
  <c r="P218" i="8"/>
  <c r="Q199" i="8" l="1"/>
  <c r="Q209" i="8" s="1"/>
  <c r="Q216" i="8" s="1"/>
  <c r="Q205" i="8"/>
  <c r="AE213" i="8"/>
  <c r="AE214" i="8" s="1"/>
  <c r="Q217" i="8" l="1"/>
  <c r="E216" i="8"/>
  <c r="D64" i="2" s="1"/>
  <c r="L91" i="13" s="1"/>
  <c r="M91" i="13" s="1"/>
  <c r="Q218" i="8"/>
  <c r="N111" i="13" l="1"/>
  <c r="N85" i="13"/>
  <c r="N129" i="13"/>
  <c r="N115" i="13"/>
  <c r="N86" i="13"/>
  <c r="N132" i="13"/>
  <c r="N87" i="13"/>
  <c r="N133" i="13"/>
  <c r="N122" i="13"/>
  <c r="N134" i="13"/>
  <c r="N101" i="13"/>
  <c r="N120" i="13"/>
  <c r="N127" i="13"/>
  <c r="N125" i="13"/>
  <c r="N112" i="13"/>
  <c r="N121" i="13"/>
  <c r="N138" i="13"/>
  <c r="N90" i="13"/>
  <c r="N123" i="13"/>
  <c r="N126" i="13"/>
  <c r="N107" i="13"/>
  <c r="N95" i="13"/>
  <c r="N130" i="13"/>
  <c r="N92" i="13"/>
  <c r="N97" i="13"/>
  <c r="N119" i="13"/>
  <c r="N136" i="13"/>
  <c r="N124" i="13"/>
  <c r="N88" i="13"/>
  <c r="N93" i="13"/>
  <c r="N84" i="13"/>
  <c r="N135" i="13"/>
  <c r="N105" i="13"/>
  <c r="N99" i="13"/>
  <c r="N108" i="13"/>
  <c r="N117" i="13"/>
  <c r="N104" i="13"/>
  <c r="N139" i="13"/>
  <c r="N118" i="13"/>
  <c r="N89" i="13"/>
  <c r="N100" i="13"/>
  <c r="N91" i="13"/>
  <c r="N109" i="13"/>
  <c r="N98" i="13"/>
  <c r="N103" i="13"/>
  <c r="N96" i="13"/>
  <c r="N102" i="13"/>
  <c r="N137" i="13"/>
  <c r="N114" i="13"/>
  <c r="N131" i="13"/>
  <c r="N116" i="13"/>
  <c r="N110" i="13"/>
  <c r="N94" i="13"/>
  <c r="N128" i="13"/>
  <c r="N113" i="13"/>
  <c r="N106" i="13"/>
  <c r="E218" i="8"/>
  <c r="E37" i="20"/>
  <c r="Q240" i="8" s="1"/>
  <c r="D75" i="2"/>
  <c r="G47" i="13" s="1"/>
  <c r="G58" i="13" s="1"/>
  <c r="F64" i="2"/>
  <c r="Q222" i="8"/>
  <c r="E217" i="8"/>
  <c r="Q221" i="8"/>
  <c r="E5" i="20" s="1"/>
  <c r="E14" i="20" s="1"/>
  <c r="Q219" i="8"/>
  <c r="S86" i="13" l="1"/>
  <c r="T86" i="13" s="1"/>
  <c r="U86" i="13" s="1"/>
  <c r="S93" i="13"/>
  <c r="T93" i="13" s="1"/>
  <c r="U93" i="13" s="1"/>
  <c r="S92" i="13"/>
  <c r="T92" i="13" s="1"/>
  <c r="U92" i="13" s="1"/>
  <c r="S87" i="13"/>
  <c r="T87" i="13" s="1"/>
  <c r="U87" i="13" s="1"/>
  <c r="S88" i="13"/>
  <c r="T88" i="13" s="1"/>
  <c r="U88" i="13" s="1"/>
  <c r="S89" i="13"/>
  <c r="T89" i="13" s="1"/>
  <c r="U89" i="13" s="1"/>
  <c r="S90" i="13"/>
  <c r="T90" i="13" s="1"/>
  <c r="U90" i="13" s="1"/>
  <c r="S84" i="13"/>
  <c r="T84" i="13" s="1"/>
  <c r="S85" i="13"/>
  <c r="T85" i="13" s="1"/>
  <c r="U85" i="13" s="1"/>
  <c r="S91" i="13"/>
  <c r="T91" i="13" s="1"/>
  <c r="U91" i="13" s="1"/>
  <c r="E240" i="8"/>
  <c r="Q242" i="8"/>
  <c r="Q225" i="8"/>
  <c r="E225" i="8" s="1"/>
  <c r="E219" i="8"/>
  <c r="E33" i="20" s="1"/>
  <c r="E40" i="20" s="1"/>
  <c r="E55" i="20" s="1"/>
  <c r="AG20" i="15"/>
  <c r="AG26" i="15" s="1"/>
  <c r="D150" i="2"/>
  <c r="E29" i="20"/>
  <c r="D77" i="2"/>
  <c r="D144" i="2"/>
  <c r="F75" i="2"/>
  <c r="U84" i="13" l="1"/>
  <c r="T94" i="13"/>
  <c r="U94" i="13" s="1"/>
  <c r="D23" i="2"/>
  <c r="D30" i="2" s="1"/>
  <c r="D146" i="2"/>
  <c r="E242" i="8"/>
  <c r="E13" i="19"/>
  <c r="E14" i="19"/>
  <c r="E57" i="20"/>
  <c r="E82" i="20" s="1"/>
  <c r="E18" i="19"/>
  <c r="E32" i="19" l="1"/>
  <c r="G45" i="13"/>
  <c r="G56" i="13" s="1"/>
  <c r="F13" i="19"/>
  <c r="G13" i="19"/>
  <c r="L43" i="13" s="1"/>
  <c r="E15" i="19"/>
  <c r="F15" i="19" s="1"/>
  <c r="F14" i="19"/>
  <c r="E19" i="19"/>
  <c r="G18" i="19"/>
  <c r="L45" i="13" s="1"/>
  <c r="F18" i="19"/>
  <c r="E33" i="19"/>
  <c r="E20" i="19"/>
  <c r="D142" i="2"/>
  <c r="D145" i="2" s="1"/>
  <c r="F30" i="2"/>
  <c r="E35" i="19"/>
  <c r="E34" i="19"/>
  <c r="D79" i="2"/>
  <c r="G15" i="19" l="1"/>
  <c r="L44" i="13" s="1"/>
  <c r="Q15" i="19"/>
  <c r="K44" i="13"/>
  <c r="P44" i="13" s="1"/>
  <c r="R44" i="13"/>
  <c r="O15" i="19"/>
  <c r="F79" i="2"/>
  <c r="G51" i="13"/>
  <c r="G59" i="13" s="1"/>
  <c r="G53" i="13"/>
  <c r="G60" i="13" s="1"/>
  <c r="G34" i="19"/>
  <c r="L54" i="13" s="1"/>
  <c r="K54" i="13"/>
  <c r="P54" i="13" s="1"/>
  <c r="F34" i="19"/>
  <c r="F20" i="19"/>
  <c r="G20" i="19"/>
  <c r="L47" i="13" s="1"/>
  <c r="F19" i="19"/>
  <c r="G19" i="19"/>
  <c r="L46" i="13" s="1"/>
  <c r="R43" i="13"/>
  <c r="K43" i="13"/>
  <c r="P43" i="13" s="1"/>
  <c r="Q13" i="19"/>
  <c r="O13" i="19"/>
  <c r="G35" i="19"/>
  <c r="L55" i="13" s="1"/>
  <c r="K55" i="13"/>
  <c r="P55" i="13" s="1"/>
  <c r="F35" i="19"/>
  <c r="F33" i="19"/>
  <c r="G33" i="19"/>
  <c r="L53" i="13" s="1"/>
  <c r="Q14" i="19"/>
  <c r="S14" i="19" s="1"/>
  <c r="O14" i="19"/>
  <c r="K45" i="13"/>
  <c r="P45" i="13" s="1"/>
  <c r="R45" i="13"/>
  <c r="O18" i="19"/>
  <c r="Q18" i="19"/>
  <c r="F32" i="19"/>
  <c r="G32" i="19"/>
  <c r="L52" i="13" s="1"/>
  <c r="E26" i="19"/>
  <c r="F26" i="19" s="1"/>
  <c r="E25" i="19"/>
  <c r="F25" i="19" s="1"/>
  <c r="E23" i="19"/>
  <c r="F23" i="19" s="1"/>
  <c r="E29" i="19"/>
  <c r="D158" i="2"/>
  <c r="D229" i="2" s="1"/>
  <c r="D1" i="2" s="1"/>
  <c r="E36" i="19"/>
  <c r="E24" i="19"/>
  <c r="F24" i="19" s="1"/>
  <c r="L60" i="13" l="1"/>
  <c r="F29" i="19"/>
  <c r="G29" i="19"/>
  <c r="L51" i="13" s="1"/>
  <c r="K47" i="13"/>
  <c r="P47" i="13" s="1"/>
  <c r="R47" i="13"/>
  <c r="Q20" i="19"/>
  <c r="O20" i="19"/>
  <c r="O23" i="19"/>
  <c r="Q23" i="19"/>
  <c r="S23" i="19" s="1"/>
  <c r="G23" i="19"/>
  <c r="Q32" i="19"/>
  <c r="R52" i="13"/>
  <c r="O32" i="19"/>
  <c r="K52" i="13"/>
  <c r="P52" i="13" s="1"/>
  <c r="K53" i="13"/>
  <c r="O33" i="19"/>
  <c r="Q33" i="19"/>
  <c r="M33" i="19"/>
  <c r="R53" i="13"/>
  <c r="O34" i="19"/>
  <c r="Q34" i="19"/>
  <c r="R54" i="13"/>
  <c r="R48" i="13"/>
  <c r="K48" i="13"/>
  <c r="P48" i="13" s="1"/>
  <c r="Q24" i="19"/>
  <c r="O24" i="19"/>
  <c r="G24" i="19"/>
  <c r="L48" i="13" s="1"/>
  <c r="K56" i="13"/>
  <c r="P56" i="13" s="1"/>
  <c r="F36" i="19"/>
  <c r="G36" i="19"/>
  <c r="L56" i="13" s="1"/>
  <c r="R49" i="13"/>
  <c r="Q25" i="19"/>
  <c r="K49" i="13"/>
  <c r="P49" i="13" s="1"/>
  <c r="O25" i="19"/>
  <c r="G25" i="19"/>
  <c r="L49" i="13" s="1"/>
  <c r="T45" i="13"/>
  <c r="S18" i="19"/>
  <c r="R55" i="13"/>
  <c r="Q35" i="19"/>
  <c r="O35" i="19"/>
  <c r="T43" i="13"/>
  <c r="S13" i="19"/>
  <c r="K46" i="13"/>
  <c r="P46" i="13" s="1"/>
  <c r="O19" i="19"/>
  <c r="R46" i="13"/>
  <c r="Q19" i="19"/>
  <c r="T44" i="13"/>
  <c r="S15" i="19"/>
  <c r="Q26" i="19"/>
  <c r="G26" i="19"/>
  <c r="L50" i="13" s="1"/>
  <c r="K50" i="13"/>
  <c r="P50" i="13" s="1"/>
  <c r="M26" i="19"/>
  <c r="O26" i="19"/>
  <c r="R50" i="13"/>
  <c r="S26" i="19" l="1"/>
  <c r="T50" i="13"/>
  <c r="Q36" i="19"/>
  <c r="R56" i="13"/>
  <c r="O36" i="19"/>
  <c r="T48" i="13"/>
  <c r="S24" i="19"/>
  <c r="S34" i="19"/>
  <c r="T54" i="13"/>
  <c r="T53" i="13"/>
  <c r="S33" i="19"/>
  <c r="T49" i="13"/>
  <c r="S25" i="19"/>
  <c r="T55" i="13"/>
  <c r="S35" i="19"/>
  <c r="P53" i="13"/>
  <c r="U60" i="13" s="1"/>
  <c r="K60" i="13"/>
  <c r="S32" i="19"/>
  <c r="T52" i="13"/>
  <c r="T46" i="13"/>
  <c r="S19" i="19"/>
  <c r="T47" i="13"/>
  <c r="S20" i="19"/>
  <c r="K51" i="13"/>
  <c r="P51" i="13" s="1"/>
  <c r="Q29" i="19"/>
  <c r="R51" i="13"/>
  <c r="O29" i="19"/>
  <c r="S36" i="19" l="1"/>
  <c r="T56" i="13"/>
  <c r="T51" i="13"/>
  <c r="S29" i="19"/>
  <c r="V60" i="13"/>
  <c r="V61" i="13"/>
  <c r="X60" i="13" l="1"/>
  <c r="X64" i="13" s="1"/>
  <c r="X63" i="13" l="1"/>
  <c r="X65" i="13"/>
  <c r="X62" i="13"/>
  <c r="X66" i="13"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FishBiz Financials.xlsx!TabAPHideDM" type="102" refreshedVersion="5" minRefreshableVersion="5">
    <extLst>
      <ext xmlns:x15="http://schemas.microsoft.com/office/spreadsheetml/2010/11/main" uri="{DE250136-89BD-433C-8126-D09CA5730AF9}">
        <x15:connection id="TabAPHideDM-da191ae9-3a0f-4f1a-b7b9-c5ec56a45cca">
          <x15:rangePr sourceName="_xlcn.WorksheetConnection_FishBizFinancials.xlsxTabAPHideDM1"/>
        </x15:connection>
      </ext>
    </extLst>
  </connection>
  <connection id="3" xr16:uid="{00000000-0015-0000-FFFF-FFFF02000000}" name="WorksheetConnection_FishBiz Financials.xlsx!TabMPHideDM" type="102" refreshedVersion="5" minRefreshableVersion="5">
    <extLst>
      <ext xmlns:x15="http://schemas.microsoft.com/office/spreadsheetml/2010/11/main" uri="{DE250136-89BD-433C-8126-D09CA5730AF9}">
        <x15:connection id="TabMPHideDM-58a7b315-f1a3-4b28-a146-6979409ffb18">
          <x15:rangePr sourceName="_xlcn.WorksheetConnection_FishBizFinancials.xlsxTabMPHideDM1"/>
        </x15:connection>
      </ext>
    </extLst>
  </connection>
</connections>
</file>

<file path=xl/sharedStrings.xml><?xml version="1.0" encoding="utf-8"?>
<sst xmlns="http://schemas.openxmlformats.org/spreadsheetml/2006/main" count="2664" uniqueCount="873">
  <si>
    <t>Other</t>
  </si>
  <si>
    <t>Due from Processors</t>
  </si>
  <si>
    <t>Child Support / Alimony</t>
  </si>
  <si>
    <t>May</t>
  </si>
  <si>
    <t>Jan</t>
  </si>
  <si>
    <t>Feb</t>
  </si>
  <si>
    <t>Mar</t>
  </si>
  <si>
    <t>Apr</t>
  </si>
  <si>
    <t>Jun</t>
  </si>
  <si>
    <t>Jul</t>
  </si>
  <si>
    <t>Aug</t>
  </si>
  <si>
    <t>Sep</t>
  </si>
  <si>
    <t>Oct</t>
  </si>
  <si>
    <t>Nov</t>
  </si>
  <si>
    <t>Dec</t>
  </si>
  <si>
    <t>Total</t>
  </si>
  <si>
    <t>Wages &amp; Salaries</t>
  </si>
  <si>
    <t xml:space="preserve">Interest &amp; Investment Dividend Income </t>
  </si>
  <si>
    <t xml:space="preserve">Other Payments </t>
  </si>
  <si>
    <t>Business Vehicles</t>
  </si>
  <si>
    <t>Business Credit Card Debt</t>
  </si>
  <si>
    <t>Business Vehicle Loans</t>
  </si>
  <si>
    <t>Personal Real Estate</t>
  </si>
  <si>
    <t>Personal Vehicles</t>
  </si>
  <si>
    <t>Personal Credit Card Debt</t>
  </si>
  <si>
    <t>Personal Taxes Payable</t>
  </si>
  <si>
    <t>Cash Value of Life Insurance Policies</t>
  </si>
  <si>
    <t>Other Personal Liabilities</t>
  </si>
  <si>
    <t>Pre-paid Expenses</t>
  </si>
  <si>
    <t>Business Loans Receivable</t>
  </si>
  <si>
    <t>Taxes &amp; Assessments Payable</t>
  </si>
  <si>
    <t>Current Portion of Long-term Loans</t>
  </si>
  <si>
    <t>Business Real Estate Loans</t>
  </si>
  <si>
    <t>Cash in Personal Accounts</t>
  </si>
  <si>
    <t>Retirement Accounts</t>
  </si>
  <si>
    <t>Stocks &amp; Bonds</t>
  </si>
  <si>
    <t>Personal Property</t>
  </si>
  <si>
    <t>Personal Liabilities</t>
  </si>
  <si>
    <t xml:space="preserve"> Loans</t>
  </si>
  <si>
    <t xml:space="preserve"> Real Estate Loans</t>
  </si>
  <si>
    <t>Total Personal Assets</t>
  </si>
  <si>
    <t>Total Personal Liabilities</t>
  </si>
  <si>
    <t>Personal Net Worth</t>
  </si>
  <si>
    <t>TOTAL NET WORTH</t>
  </si>
  <si>
    <t>Fuel, Lubricants, etc</t>
  </si>
  <si>
    <t xml:space="preserve">Taxes, Fees &amp; Assessments                                  </t>
  </si>
  <si>
    <t>Utilities</t>
  </si>
  <si>
    <t>Insurance</t>
  </si>
  <si>
    <t>NET CASH FLOWS (all sources)</t>
  </si>
  <si>
    <t>Loan &amp; Credit Card Payments</t>
  </si>
  <si>
    <t>Bank Account</t>
  </si>
  <si>
    <t>Year</t>
  </si>
  <si>
    <t>Look Back</t>
  </si>
  <si>
    <t>Look Forward</t>
  </si>
  <si>
    <t>Labor</t>
  </si>
  <si>
    <t>Packaging</t>
  </si>
  <si>
    <t>Shipping</t>
  </si>
  <si>
    <t>Promotion &amp; Advertising</t>
  </si>
  <si>
    <t>Licenses / Permits</t>
  </si>
  <si>
    <t>Vehicle Expense</t>
  </si>
  <si>
    <t>Name</t>
  </si>
  <si>
    <t>City</t>
  </si>
  <si>
    <t>State / Province</t>
  </si>
  <si>
    <t>Address</t>
  </si>
  <si>
    <t>Zip / Postal Code</t>
  </si>
  <si>
    <t>Property Taxes</t>
  </si>
  <si>
    <t>Cold Storage Fees</t>
  </si>
  <si>
    <t>Processing Supplies</t>
  </si>
  <si>
    <t>Branded Materials, Tours, Etc</t>
  </si>
  <si>
    <t>Direct Marketing Income</t>
  </si>
  <si>
    <t>Repairs &amp; Maintenance</t>
  </si>
  <si>
    <t>Pmt Due in 12 months</t>
  </si>
  <si>
    <t>Interest on Loans</t>
  </si>
  <si>
    <t>Date</t>
  </si>
  <si>
    <t>Value</t>
  </si>
  <si>
    <t>Market Value</t>
  </si>
  <si>
    <t>Balance</t>
  </si>
  <si>
    <t>Personal Assets</t>
  </si>
  <si>
    <t>Current Ratio</t>
  </si>
  <si>
    <t>Working Capital</t>
  </si>
  <si>
    <t>Debt-to-Assets</t>
  </si>
  <si>
    <t>Debt-to-Equity</t>
  </si>
  <si>
    <t>Total Assets</t>
  </si>
  <si>
    <t>Total Liabilities</t>
  </si>
  <si>
    <t>Balance Sheet</t>
  </si>
  <si>
    <t>Date Prepared:</t>
  </si>
  <si>
    <t>Prepared On:</t>
  </si>
  <si>
    <t>Detailed Assets</t>
  </si>
  <si>
    <t>Savings</t>
  </si>
  <si>
    <t>Personal Accounts Payable</t>
  </si>
  <si>
    <t>Lender</t>
  </si>
  <si>
    <t>Description</t>
  </si>
  <si>
    <t>Interest Rate</t>
  </si>
  <si>
    <t>Annual P&amp;I Payment</t>
  </si>
  <si>
    <t>Prin Due in 12 Months</t>
  </si>
  <si>
    <t>Remaining Balance</t>
  </si>
  <si>
    <t>First Year</t>
  </si>
  <si>
    <t>Payment Frequency</t>
  </si>
  <si>
    <t>Loan Frequency</t>
  </si>
  <si>
    <t>Monthly</t>
  </si>
  <si>
    <t>Quarterly</t>
  </si>
  <si>
    <t>Number Pmts</t>
  </si>
  <si>
    <t>Semi-Annual</t>
  </si>
  <si>
    <t>Years Left</t>
  </si>
  <si>
    <t>Annual</t>
  </si>
  <si>
    <t>Months</t>
  </si>
  <si>
    <t>#Pmts</t>
  </si>
  <si>
    <t>Total Prin Due in 12 months</t>
  </si>
  <si>
    <t>Personal Loans</t>
  </si>
  <si>
    <t>Detailed Loan Information</t>
  </si>
  <si>
    <t>Other Business Accounts Receivables</t>
  </si>
  <si>
    <t>Other Personal Assets</t>
  </si>
  <si>
    <t>Principal Balance</t>
  </si>
  <si>
    <t>Month Due</t>
  </si>
  <si>
    <t>Current Principal Bal</t>
  </si>
  <si>
    <t>Month Borrowed</t>
  </si>
  <si>
    <t>Direct to processor</t>
  </si>
  <si>
    <t>Direct to consumer</t>
  </si>
  <si>
    <t>Marketing</t>
  </si>
  <si>
    <t>Total Direct Marketing Income</t>
  </si>
  <si>
    <t>NET INCOME FROM DIRECT MARKETING</t>
  </si>
  <si>
    <t>NET CASH FLOW FROM DIRECT MARKETING</t>
  </si>
  <si>
    <t>NET CASH FLOW FROM PERSONAL</t>
  </si>
  <si>
    <t>CUMULATIVE CASH BALANCE FROM PERSONAL</t>
  </si>
  <si>
    <t>CUMULATIVE CASH BALANCE FROM DIRECT MARKETING</t>
  </si>
  <si>
    <t>Column1</t>
  </si>
  <si>
    <t>Year Examined</t>
  </si>
  <si>
    <t>Year:</t>
  </si>
  <si>
    <t>CUMULATIVE CASH BALANCE FROM ALL SOURCES</t>
  </si>
  <si>
    <t>NET CASH FLOW FROM ALL SOURCES</t>
  </si>
  <si>
    <t>Sale of Investments</t>
  </si>
  <si>
    <t>Interest &amp; Investment Dividend Income</t>
  </si>
  <si>
    <t>New Credit</t>
  </si>
  <si>
    <t>PERSONAL INFLOWS &amp; OUTFLOWS</t>
  </si>
  <si>
    <t>Personal Inflows</t>
  </si>
  <si>
    <t>Personal &amp; Living Outflows</t>
  </si>
  <si>
    <t>Education</t>
  </si>
  <si>
    <t>Personal Property Insurance</t>
  </si>
  <si>
    <t>Cash Donations / Gifts</t>
  </si>
  <si>
    <t>Life Insurance</t>
  </si>
  <si>
    <t>Total Personal Inflows</t>
  </si>
  <si>
    <t>Total Personal &amp; Living Outflows</t>
  </si>
  <si>
    <t>Food and Meals</t>
  </si>
  <si>
    <t xml:space="preserve">Medical </t>
  </si>
  <si>
    <t>Health Insurance</t>
  </si>
  <si>
    <t>Household Supplies</t>
  </si>
  <si>
    <t>Clothing</t>
  </si>
  <si>
    <t>Personal Care</t>
  </si>
  <si>
    <t>Child / Dependent Care</t>
  </si>
  <si>
    <t>Recreation</t>
  </si>
  <si>
    <t>Personal Vehicle Operating</t>
  </si>
  <si>
    <t>Taxes - Real Estate</t>
  </si>
  <si>
    <t>Taxes - Income</t>
  </si>
  <si>
    <t>Disability / Long Term Care Insurance</t>
  </si>
  <si>
    <t>Capital Purchases (-)</t>
  </si>
  <si>
    <t>Just Business Income and Expenses</t>
  </si>
  <si>
    <t>Column2</t>
  </si>
  <si>
    <t>Both Business and Personal</t>
  </si>
  <si>
    <t>Do you want to project both business and personal 
income and expenses?</t>
  </si>
  <si>
    <t>Liabilities Detail</t>
  </si>
  <si>
    <t>Current Assets</t>
  </si>
  <si>
    <t>Current Liabilities</t>
  </si>
  <si>
    <t>Total Current Assets</t>
  </si>
  <si>
    <t>Total Current Liabilities</t>
  </si>
  <si>
    <t>Total Non-Current Liabilities</t>
  </si>
  <si>
    <r>
      <t xml:space="preserve">Cash </t>
    </r>
    <r>
      <rPr>
        <b/>
        <i/>
        <sz val="8"/>
        <color theme="0"/>
        <rFont val="Arial"/>
        <family val="2"/>
        <charset val="204"/>
      </rPr>
      <t>(cash, business checking &amp; savings accounts)</t>
    </r>
  </si>
  <si>
    <r>
      <t xml:space="preserve">Loans Receivable </t>
    </r>
    <r>
      <rPr>
        <b/>
        <i/>
        <sz val="8"/>
        <color theme="0"/>
        <rFont val="Arial"/>
        <family val="2"/>
        <charset val="204"/>
      </rPr>
      <t>(personal loans)</t>
    </r>
  </si>
  <si>
    <r>
      <t xml:space="preserve">Accounts Payable </t>
    </r>
    <r>
      <rPr>
        <b/>
        <i/>
        <sz val="8"/>
        <color theme="0"/>
        <rFont val="Arial"/>
        <family val="2"/>
        <charset val="204"/>
      </rPr>
      <t>(processor,suppliers, etc.)</t>
    </r>
  </si>
  <si>
    <t>Direct Marketing Net Income</t>
  </si>
  <si>
    <t>Direct Mkt Income</t>
  </si>
  <si>
    <t>Beg. Cash</t>
  </si>
  <si>
    <t>Other Personal Loan Payments</t>
  </si>
  <si>
    <t>Loan Purpose</t>
  </si>
  <si>
    <t>Direct Mkt</t>
  </si>
  <si>
    <t>Personal</t>
  </si>
  <si>
    <t>Prin</t>
  </si>
  <si>
    <t>Int</t>
  </si>
  <si>
    <t>Operating</t>
  </si>
  <si>
    <t>1st Month Due</t>
  </si>
  <si>
    <t>Prin Pmt</t>
  </si>
  <si>
    <t>Int Pmt</t>
  </si>
  <si>
    <t>Mon Paid</t>
  </si>
  <si>
    <t>January</t>
  </si>
  <si>
    <t>Febuary</t>
  </si>
  <si>
    <t>March</t>
  </si>
  <si>
    <t>April</t>
  </si>
  <si>
    <t>June</t>
  </si>
  <si>
    <t>July</t>
  </si>
  <si>
    <t>August</t>
  </si>
  <si>
    <t>September</t>
  </si>
  <si>
    <t>October</t>
  </si>
  <si>
    <t>November</t>
  </si>
  <si>
    <t>December</t>
  </si>
  <si>
    <t>CumulPrin</t>
  </si>
  <si>
    <t>CumulInt</t>
  </si>
  <si>
    <t>Pmts made</t>
  </si>
  <si>
    <t>Month</t>
  </si>
  <si>
    <t>Payment</t>
  </si>
  <si>
    <t>Total Op Int</t>
  </si>
  <si>
    <t>Rent</t>
  </si>
  <si>
    <t>Mortgage/Personal Real Estate Loans</t>
  </si>
  <si>
    <t>%Pmts</t>
  </si>
  <si>
    <t>Proposed Loans</t>
  </si>
  <si>
    <t>Proposed Prin Bal</t>
  </si>
  <si>
    <t>Proposed Loan Information</t>
  </si>
  <si>
    <t>AgPlan Financial spreadsheets were made possible by funding from the North Central Risk Management Education Center &amp; from technical help from the Center for Farm Financial Management at the University of Minnesota. This material is based upon work supported by USDA/NIFA under Award Number 2015-49200-24226.</t>
  </si>
  <si>
    <t>Accrued Interest</t>
  </si>
  <si>
    <t>Operating Loans</t>
  </si>
  <si>
    <t>Pmt First Year</t>
  </si>
  <si>
    <t>Borrowed</t>
  </si>
  <si>
    <t>ProposedLoanPurpose</t>
  </si>
  <si>
    <t>Operating-Direct Mkt</t>
  </si>
  <si>
    <t>New Mortgage/Personal Real Estate Loan</t>
  </si>
  <si>
    <t>New Other Personal Loan</t>
  </si>
  <si>
    <t>New Operating Loan</t>
  </si>
  <si>
    <t>Total Direct Marketing Income/Inflows</t>
  </si>
  <si>
    <t>Direct Marketing Income/Inflows</t>
  </si>
  <si>
    <t>DIRECT MARKETING INCOME STATEMENT ADJUSTMENTS</t>
  </si>
  <si>
    <t>Beginning Cash Balance</t>
  </si>
  <si>
    <t>Net Cash Flow from Direct Marketing</t>
  </si>
  <si>
    <t>Net Cash Flow from Personal</t>
  </si>
  <si>
    <t>If all payments</t>
  </si>
  <si>
    <t>if last year</t>
  </si>
  <si>
    <t>Last Year</t>
  </si>
  <si>
    <t>OrigPmts</t>
  </si>
  <si>
    <t>IsLast</t>
  </si>
  <si>
    <t>Last Month Paid</t>
  </si>
  <si>
    <t>Rem Pmts</t>
  </si>
  <si>
    <t>1stpay</t>
  </si>
  <si>
    <t>Personal-RE</t>
  </si>
  <si>
    <t>Ag Income/Inflows</t>
  </si>
  <si>
    <t>Total Ag Income/Inflows</t>
  </si>
  <si>
    <t>Net Cash Flow from Ag</t>
  </si>
  <si>
    <t>NET CASH FLOW FROM AG</t>
  </si>
  <si>
    <t>CUMULATIVE CASH BALANCE FROM AG</t>
  </si>
  <si>
    <t xml:space="preserve"> AG INCOME STATEMENT ADJUSTMENTS</t>
  </si>
  <si>
    <t>NET INCOME FROM AG</t>
  </si>
  <si>
    <t>Other Current Assets</t>
  </si>
  <si>
    <t>Equipment</t>
  </si>
  <si>
    <t>Other Personal (Non-Business Assets)</t>
  </si>
  <si>
    <t>Buildings &amp; Improvements</t>
  </si>
  <si>
    <t>Land</t>
  </si>
  <si>
    <t>Ag &amp; Bus. Assets</t>
  </si>
  <si>
    <t>Ag &amp; Bus. Liabilities</t>
  </si>
  <si>
    <t>Total Ag &amp; Bus. Assets</t>
  </si>
  <si>
    <t>Total Ag &amp; Bus. Liabilities</t>
  </si>
  <si>
    <t>Business Net Worth</t>
  </si>
  <si>
    <t>Business Ratio Analysis</t>
  </si>
  <si>
    <t>Other Current Liabilities</t>
  </si>
  <si>
    <t>Other Non-Current Liabilities</t>
  </si>
  <si>
    <t>Equipment Loans</t>
  </si>
  <si>
    <t>Livestock Loans</t>
  </si>
  <si>
    <t>Business Building Loans</t>
  </si>
  <si>
    <t>Business Buildings Loans</t>
  </si>
  <si>
    <t>Oth Business Real Estate</t>
  </si>
  <si>
    <t>Inventory Worksheet</t>
  </si>
  <si>
    <t>Crop Inventory</t>
  </si>
  <si>
    <t>Quantity</t>
  </si>
  <si>
    <t>Livestock Held for Sale</t>
  </si>
  <si>
    <t>Weight</t>
  </si>
  <si>
    <t>Value/CWT</t>
  </si>
  <si>
    <t>How do you sell your product?</t>
  </si>
  <si>
    <t>February</t>
  </si>
  <si>
    <t>Other Non-Current Business Assets</t>
  </si>
  <si>
    <t>Other Business Loans</t>
  </si>
  <si>
    <t>Farmers Market Sales</t>
  </si>
  <si>
    <t>CSA Sales</t>
  </si>
  <si>
    <t>Farmstand Sales</t>
  </si>
  <si>
    <t>Other Direct Marketing Sales</t>
  </si>
  <si>
    <t>Branded Materials, Tours, Etc.</t>
  </si>
  <si>
    <t>Equipment Sales</t>
  </si>
  <si>
    <t>Purchased for Resale</t>
  </si>
  <si>
    <t>Market Supplies</t>
  </si>
  <si>
    <t>Purchases of Marketing Facilities / Equipment</t>
  </si>
  <si>
    <t>Facility Rent / Mortgage</t>
  </si>
  <si>
    <t>- Depreciation - Marketing Facilities &amp; Equipment</t>
  </si>
  <si>
    <t>Balance Sheet Value Marketing Equipment Sold</t>
  </si>
  <si>
    <t>- Breeding Livestock Depreciation</t>
  </si>
  <si>
    <t>- Buildings Depreciation</t>
  </si>
  <si>
    <t>Balance Sheet Value Buildings Sold</t>
  </si>
  <si>
    <t>Custom Work</t>
  </si>
  <si>
    <t>Building Sales</t>
  </si>
  <si>
    <t>Vegetable/Fruit Sales</t>
  </si>
  <si>
    <t>Livestock Product Sales (Milk, eggs, etc.)</t>
  </si>
  <si>
    <t>Government Payments</t>
  </si>
  <si>
    <t>Crop Insurance</t>
  </si>
  <si>
    <t>Co-op Distributions (Patronage)</t>
  </si>
  <si>
    <t>Land Rent</t>
  </si>
  <si>
    <t>Dues &amp; Professional Fees</t>
  </si>
  <si>
    <t>Farm Insurance</t>
  </si>
  <si>
    <t>Machinery/Building Leases</t>
  </si>
  <si>
    <t>Hired Labor</t>
  </si>
  <si>
    <t>Seeds &amp; Plants</t>
  </si>
  <si>
    <t>Custom Hire</t>
  </si>
  <si>
    <t>Livestock Supplies</t>
  </si>
  <si>
    <t>Livestock Marketing</t>
  </si>
  <si>
    <t>Livestock Consultants</t>
  </si>
  <si>
    <t>Government Program Expense</t>
  </si>
  <si>
    <t>Grazing Fees</t>
  </si>
  <si>
    <t>Livestock Insurance</t>
  </si>
  <si>
    <t>Feeder Livestock Purchase</t>
  </si>
  <si>
    <t>Purchased Feed</t>
  </si>
  <si>
    <t>Veterinary/Breeding Fees</t>
  </si>
  <si>
    <t>Crop Marketing (non-direct to consumer)</t>
  </si>
  <si>
    <t>Fertilizer</t>
  </si>
  <si>
    <t>Crop Chemicals</t>
  </si>
  <si>
    <t>Drying Expense</t>
  </si>
  <si>
    <t>Storage</t>
  </si>
  <si>
    <t>Greenhouse Supplies</t>
  </si>
  <si>
    <t>Crop/Field Supplies</t>
  </si>
  <si>
    <t>Irrigation Energy</t>
  </si>
  <si>
    <t>Crop Consultants</t>
  </si>
  <si>
    <t>Breeding Livestock Depreciation</t>
  </si>
  <si>
    <t>Building Depreciation</t>
  </si>
  <si>
    <t>Gain/Loss on Sale of Equip, Livestock or Buildings (-)</t>
  </si>
  <si>
    <t>Building Sales (+)</t>
  </si>
  <si>
    <t>Drying</t>
  </si>
  <si>
    <t>Crop Marketing</t>
  </si>
  <si>
    <t>Ag Income</t>
  </si>
  <si>
    <t>Total Ag Income</t>
  </si>
  <si>
    <t>Ag Net Income</t>
  </si>
  <si>
    <t>Depreciation - Marketing Facilities &amp; Equipment</t>
  </si>
  <si>
    <t>Gain on Sale of Marketing Facilities / Equipment</t>
  </si>
  <si>
    <t>Livestock Sales (non-cull)</t>
  </si>
  <si>
    <t>Balance Sheet Val Purchased Breeding Lvsk Sold</t>
  </si>
  <si>
    <t>Farm Financial Scorecard</t>
  </si>
  <si>
    <t>For more information visit http://Ans.Farm/FinancialScorecard</t>
  </si>
  <si>
    <t>Liquidity</t>
  </si>
  <si>
    <t>Income Taxes Payable</t>
  </si>
  <si>
    <t>Scorecard Graphs</t>
  </si>
  <si>
    <t>toGraph</t>
  </si>
  <si>
    <t>Slider position</t>
  </si>
  <si>
    <t>Spectrum</t>
  </si>
  <si>
    <t>Slider Fill</t>
  </si>
  <si>
    <t>Slider Size</t>
  </si>
  <si>
    <t>Min</t>
  </si>
  <si>
    <t>Lower</t>
  </si>
  <si>
    <t>Mid</t>
  </si>
  <si>
    <t>Higher</t>
  </si>
  <si>
    <t>Max</t>
  </si>
  <si>
    <t>Label</t>
  </si>
  <si>
    <t xml:space="preserve">Which year do you want to examine?  </t>
  </si>
  <si>
    <t>Solvency</t>
  </si>
  <si>
    <t>Debt-to-Asset</t>
  </si>
  <si>
    <t>Equity-to-Asset</t>
  </si>
  <si>
    <t>Profitability</t>
  </si>
  <si>
    <t>Return on Assets</t>
  </si>
  <si>
    <t>Return on Equity</t>
  </si>
  <si>
    <t>Operating Profit Margin</t>
  </si>
  <si>
    <t>Repayment Capacity</t>
  </si>
  <si>
    <t>Term Debt Coverage Ratio</t>
  </si>
  <si>
    <t>Efficiency</t>
  </si>
  <si>
    <t>Asset-Turnover Ratio</t>
  </si>
  <si>
    <t>Operating Expense Ratio</t>
  </si>
  <si>
    <t>Depreciation Expense Ratio</t>
  </si>
  <si>
    <t>Interest Expense Ratio</t>
  </si>
  <si>
    <t>Net Income Ratio</t>
  </si>
  <si>
    <t>Working Capital (WC)</t>
  </si>
  <si>
    <t>WC to Gross Revenue</t>
  </si>
  <si>
    <t>To processor, elevator or other producer</t>
  </si>
  <si>
    <t>Both / Either</t>
  </si>
  <si>
    <t>+ Gain/Loss on Sale of Equip</t>
  </si>
  <si>
    <t>+ Gain/Loss on Sale of Purch Brd Lvsk</t>
  </si>
  <si>
    <t>+ Gain/Loss on Sale of Buildings</t>
  </si>
  <si>
    <t>Equipment Capital Purchases</t>
  </si>
  <si>
    <t>Breeding Livestock Purchases</t>
  </si>
  <si>
    <t>Buildings Purchases</t>
  </si>
  <si>
    <t>Yes</t>
  </si>
  <si>
    <t>Gain on Sale of Equipment, Breeding Livestock &amp; Buildings</t>
  </si>
  <si>
    <t>Other Operating</t>
  </si>
  <si>
    <t>Balance Sheet Trends</t>
  </si>
  <si>
    <t>Intermediate Assets</t>
  </si>
  <si>
    <t>Intermediate Liabilities</t>
  </si>
  <si>
    <t>Total Intermediate Assets</t>
  </si>
  <si>
    <t>Total Intermediate Liabilities</t>
  </si>
  <si>
    <t>Long Term Assets</t>
  </si>
  <si>
    <t>Long Term Liabilities</t>
  </si>
  <si>
    <t>Total Long Term Assets</t>
  </si>
  <si>
    <t>Total Long Term Liabilities</t>
  </si>
  <si>
    <t>TOTAL AG &amp; BUS. ASSETS</t>
  </si>
  <si>
    <t>AG &amp; BUS. ASSETS</t>
  </si>
  <si>
    <t>AG &amp; BUS. LIABILITIES</t>
  </si>
  <si>
    <t>TOTAL AG &amp; BUS. LIABILITIES</t>
  </si>
  <si>
    <t>PERSONAL ASSETS</t>
  </si>
  <si>
    <t>TOTAL PERSONAL ASSETS</t>
  </si>
  <si>
    <t>PERSONAL LIABILITIES</t>
  </si>
  <si>
    <t>TOTAL PERSONAL LIABILITIES</t>
  </si>
  <si>
    <t>PERSONAL NET WORTH</t>
  </si>
  <si>
    <t>Change in Crop Inventories*</t>
  </si>
  <si>
    <t>-Change in Inventories, Prepaids, Etc*</t>
  </si>
  <si>
    <t>- Inventory Change</t>
  </si>
  <si>
    <t>Inventory Changes (-)</t>
  </si>
  <si>
    <t>Number of Operators</t>
  </si>
  <si>
    <t>Projected Inventory Worksheet</t>
  </si>
  <si>
    <t>BUSINESS NET WORTH</t>
  </si>
  <si>
    <t>Depreciation</t>
  </si>
  <si>
    <t>- Change in Inventories</t>
  </si>
  <si>
    <t>Proceeds on Marketing of Marketing Facilities / Equipment (+)</t>
  </si>
  <si>
    <t>Gain on Sale of Marketing Facilities / Equipment (-)</t>
  </si>
  <si>
    <t>Depreciation - Marketing Facilities &amp; Equipment (+)</t>
  </si>
  <si>
    <t>Principal Payments on Marketing Facilities &amp; Equipment (-)</t>
  </si>
  <si>
    <t>Direct Marketing New Credit (+)</t>
  </si>
  <si>
    <t>Direct Marketing New Operating Loan (+)</t>
  </si>
  <si>
    <t>Purchases of Marketing Facilities / Equipment (-)</t>
  </si>
  <si>
    <t>Inventory Changes (+)</t>
  </si>
  <si>
    <t>Ag Business</t>
  </si>
  <si>
    <t>Operating-Ag</t>
  </si>
  <si>
    <t>Curr</t>
  </si>
  <si>
    <t>Rem</t>
  </si>
  <si>
    <t>Term Loans Principal Payments</t>
  </si>
  <si>
    <t>Operating Loan Principal Payments</t>
  </si>
  <si>
    <t>Principal Payments on Ag Operating &amp; Bus Loans (-)</t>
  </si>
  <si>
    <t>New Credit (Ag Bus) (+)</t>
  </si>
  <si>
    <t>New Ag Operating Loan(+)</t>
  </si>
  <si>
    <t>Direct Mkting Term Loan Principal Payments</t>
  </si>
  <si>
    <t>Sched P&amp;I On Term</t>
  </si>
  <si>
    <t>Sch Pay</t>
  </si>
  <si>
    <t>CumunInt2</t>
  </si>
  <si>
    <t>CumulInt1</t>
  </si>
  <si>
    <t>CumulInt2</t>
  </si>
  <si>
    <t>Left</t>
  </si>
  <si>
    <t>Mon Left</t>
  </si>
  <si>
    <t>MonthsLeft</t>
  </si>
  <si>
    <t>Last Mon Paid</t>
  </si>
  <si>
    <t>AccrInt</t>
  </si>
  <si>
    <t>Personal Accrued Interest</t>
  </si>
  <si>
    <t>From Loan Entry</t>
  </si>
  <si>
    <t xml:space="preserve">Permit Expenses                                                   </t>
  </si>
  <si>
    <t>Other Fixed Expenses</t>
  </si>
  <si>
    <t>Do you want to examine direct marketing income &amp; Expenses?</t>
  </si>
  <si>
    <t>Include Direct Marketing Income &amp; Expenses</t>
  </si>
  <si>
    <t>Do Not Include Direct Marketing Income &amp; Expenses</t>
  </si>
  <si>
    <t>Variable Ag Expenses</t>
  </si>
  <si>
    <t>Fixed Ag Expenses</t>
  </si>
  <si>
    <t>Variable Direct Mkt Expenses</t>
  </si>
  <si>
    <t>Fixed Direct Mkt Expenses</t>
  </si>
  <si>
    <t>DIRECT MARKETING INCOME &amp; EXPENSES</t>
  </si>
  <si>
    <t>AG INCOME &amp; EXPENSES</t>
  </si>
  <si>
    <t>TOTAL AG EXPENSES/OUTFLOWS</t>
  </si>
  <si>
    <t>TOTAL DIRECT MARKETING EXPENSES</t>
  </si>
  <si>
    <t>TOTAL AG EXPENSES</t>
  </si>
  <si>
    <t>Cull Livestock Sales</t>
  </si>
  <si>
    <t>Cull Livestock Sales (+)</t>
  </si>
  <si>
    <t>Retirement</t>
  </si>
  <si>
    <t>Personal Vehicle Purchases</t>
  </si>
  <si>
    <t>Personal Capital Purchases (Home furnishings, etc.)</t>
  </si>
  <si>
    <t>No</t>
  </si>
  <si>
    <t>Property Taxes Payable</t>
  </si>
  <si>
    <t>Business Taxes Payable</t>
  </si>
  <si>
    <t>Total Value</t>
  </si>
  <si>
    <t>Ratio</t>
  </si>
  <si>
    <t>Graph</t>
  </si>
  <si>
    <t>pointer</t>
  </si>
  <si>
    <t>end</t>
  </si>
  <si>
    <t>Chart Title</t>
  </si>
  <si>
    <t>Explain</t>
  </si>
  <si>
    <t>Bigslice</t>
  </si>
  <si>
    <t>slice2</t>
  </si>
  <si>
    <t>slice3</t>
  </si>
  <si>
    <t>slice4</t>
  </si>
  <si>
    <t>Pointer</t>
  </si>
  <si>
    <t>The Current Ratio measures the extent to which current farm assets, if sold tomorrow, would pay off current farm liabilities.</t>
  </si>
  <si>
    <t>Working Capital to Gross Revenue (WC/GR) measures the operating capital available against the size of the business.</t>
  </si>
  <si>
    <t>Debt-to-Equity compares the bank's ownership to your ownership. It also indicates how much the owners have leveraged their equity in the business.</t>
  </si>
  <si>
    <t>Debt-to-Assets shows the bank's (or other lender's) share of the business. It compares total farm debt to total farm assets.</t>
  </si>
  <si>
    <t>Equity-to-Assets tells you what your share of the business is. It compares farm equity (net worth) to total farm assets.</t>
  </si>
  <si>
    <t>Rate of Return on Farm Equity (ROE)represents the interest rate being earned by YOUR investment in the farm. You can compare this ratio to what you would receive if your equity was invested elsewhere, such as a certificate of deposit.</t>
  </si>
  <si>
    <t>Rate of Return on Farm Assets (ROA) is the amount of return your assets are earning. In other words, think of it as the average interest rate earned on all (yours and the banks') investments in the farm.</t>
  </si>
  <si>
    <t>The Term Debt Coverage ratio tells where your business produced enough income to cover all intermediate and long-term debt payments. If this ratio is 1.0 or less, then there isn't enough cashflow to cover scheduled debt payments.</t>
  </si>
  <si>
    <t>The Asset-Turnover ratio measures efficiency in using capital. How well are your assets generating revenue? If this ratio is low you might want to sell low-return investments or invest in assets that are higher revenue generating assets.</t>
  </si>
  <si>
    <t xml:space="preserve">The Operating Profit Margin shows the operating efficiency of the business. If expenses are low relative to the value of farm production, the business will have a healthy operating profit margin. </t>
  </si>
  <si>
    <t>The Operating Expense ratio shows the percentage of farm income that is used to pay operating expenses. If this value is 80% then it is saying that $0.80 of every $1 goes to running the business.</t>
  </si>
  <si>
    <t>The Interest Expense shows how what percentage of gross farm income is used to pay interest costs for borrowed money.</t>
  </si>
  <si>
    <t>The Depreciation Expense ratio indicates how quickly your business wears out capital (equipment, etc.). It tells what proportion of farm income is needed to maintain the capital used by the business.</t>
  </si>
  <si>
    <t>The Net Income ratio tells you what percentage of gross farm income you get to keep after all expenses (excluding unpaid labor and management) are paid.</t>
  </si>
  <si>
    <t>Reverse</t>
  </si>
  <si>
    <t>no</t>
  </si>
  <si>
    <t>Expense</t>
  </si>
  <si>
    <t>Current Year</t>
  </si>
  <si>
    <t>Projected</t>
  </si>
  <si>
    <t>Net Income from Ag</t>
  </si>
  <si>
    <t>Ag Cash Flow Adjustments</t>
  </si>
  <si>
    <t>Consultants</t>
  </si>
  <si>
    <t>Crop Insurance Proceeds</t>
  </si>
  <si>
    <t>Column3</t>
  </si>
  <si>
    <t>Just ag</t>
  </si>
  <si>
    <t>Variable</t>
  </si>
  <si>
    <t>Rank</t>
  </si>
  <si>
    <t>Remainder</t>
  </si>
  <si>
    <t>Other Inventory on Hand (Direct Marketing)</t>
  </si>
  <si>
    <t>Slider</t>
  </si>
  <si>
    <t>End</t>
  </si>
  <si>
    <t>endval</t>
  </si>
  <si>
    <t>holder</t>
  </si>
  <si>
    <t>yes</t>
  </si>
  <si>
    <t>graph</t>
  </si>
  <si>
    <t>Midpoint</t>
  </si>
  <si>
    <t>=IF(IF(ScorecardGraphsChoice=Year1,'Financial Scorecard'!D35,'Financial Scorecard'!E35)&lt;[@Midpoint],IF(ScorecardGraphsChoice=Year1,'Financial Scorecard'!D35,'Financial Scorecard'!E35)/1,IF('ScorecardGraphsChoice=Year1,'Financial Scorecard'!D35,'Financial Scorecard'!E35)/1)</t>
  </si>
  <si>
    <t>Total Net Income</t>
  </si>
  <si>
    <t>DashboardChoiceIncExpGraph="Just Ag"</t>
  </si>
  <si>
    <t>Ag net income</t>
  </si>
  <si>
    <t>Direct marketing net income</t>
  </si>
  <si>
    <t>+ Gain/Loss on Sale of Mkting Facilities / Equipment</t>
  </si>
  <si>
    <t>TOT DIRECT MKTING EXPENSES/OUTFLOWS</t>
  </si>
  <si>
    <t>Personal Capital Purch (Home furnishings, etc.)</t>
  </si>
  <si>
    <t>Do you want to project both business and personal income and expenses?</t>
  </si>
  <si>
    <t>Go to the Historical Information help video</t>
  </si>
  <si>
    <t>Farm / Company Name</t>
  </si>
  <si>
    <r>
      <t>Non-Current Assets</t>
    </r>
    <r>
      <rPr>
        <b/>
        <i/>
        <sz val="9"/>
        <rFont val="Arial"/>
        <family val="2"/>
        <charset val="204"/>
      </rPr>
      <t xml:space="preserve"> (Note: Use Appraised Values.)</t>
    </r>
  </si>
  <si>
    <t>Value/Unit</t>
  </si>
  <si>
    <t>Value/unit</t>
  </si>
  <si>
    <t>Veterinary</t>
  </si>
  <si>
    <t>Which year to examine?</t>
  </si>
  <si>
    <t>Value of Unpaid Labor &amp; Management (non-cash)</t>
  </si>
  <si>
    <t>Balance Sheet Date</t>
  </si>
  <si>
    <t>Balance Sheet Date:</t>
  </si>
  <si>
    <t>Balances as of:</t>
  </si>
  <si>
    <t>Balance Sheet Value Equip Sold</t>
  </si>
  <si>
    <t>Equip, Livestock &amp; Buildings Depr (+)</t>
  </si>
  <si>
    <t>Income Statement Worksheet</t>
  </si>
  <si>
    <t>Gross Income (Schedule F Line 9)</t>
  </si>
  <si>
    <t xml:space="preserve">     Cost of Feeder Livestock Sold (Line 1b)</t>
  </si>
  <si>
    <t xml:space="preserve">+ </t>
  </si>
  <si>
    <t xml:space="preserve">     Commodity Credit Corporation (CCC) loans reported under election (line 5a)</t>
  </si>
  <si>
    <t>-</t>
  </si>
  <si>
    <t xml:space="preserve">     Crop Insurance Reported (Line 6b)</t>
  </si>
  <si>
    <t xml:space="preserve">- </t>
  </si>
  <si>
    <t xml:space="preserve">     Crop Insurance Received (Line 6a)</t>
  </si>
  <si>
    <t xml:space="preserve">     Crop Insurance Deferred from Previous Year (Line 6d)</t>
  </si>
  <si>
    <t xml:space="preserve">     Cull Livestock Income</t>
  </si>
  <si>
    <t xml:space="preserve">          Gross Cash Income</t>
  </si>
  <si>
    <t>(A)</t>
  </si>
  <si>
    <t>End Invent -  Beg Invent</t>
  </si>
  <si>
    <t>Crops &amp; Feed</t>
  </si>
  <si>
    <t>Livestock Held For Sale</t>
  </si>
  <si>
    <t xml:space="preserve">Accounts Receivable </t>
  </si>
  <si>
    <t>Hedging Accounts</t>
  </si>
  <si>
    <t>Other Inventory</t>
  </si>
  <si>
    <t xml:space="preserve">       Gross Farm Income (Accrual)</t>
  </si>
  <si>
    <t>(B)</t>
  </si>
  <si>
    <t xml:space="preserve">     Purchases of livestock &amp; other items for resale</t>
  </si>
  <si>
    <t xml:space="preserve">     Depreciation (line 14)</t>
  </si>
  <si>
    <t xml:space="preserve">     CCC Loan Repayment reported on line 32</t>
  </si>
  <si>
    <t>Account</t>
  </si>
  <si>
    <t>Beg Invent - End Invent</t>
  </si>
  <si>
    <t xml:space="preserve">      Prepaid Expenses &amp; Supplies</t>
  </si>
  <si>
    <t xml:space="preserve">      Growing Crops</t>
  </si>
  <si>
    <t>End Invent - Beg Invent</t>
  </si>
  <si>
    <t xml:space="preserve">     Accounts Payable</t>
  </si>
  <si>
    <t xml:space="preserve">         Total Operating Expense (Accrual)</t>
  </si>
  <si>
    <t>(C)</t>
  </si>
  <si>
    <t>Begin value</t>
  </si>
  <si>
    <t>+ Purchases</t>
  </si>
  <si>
    <t>- Sales</t>
  </si>
  <si>
    <t xml:space="preserve">=    Value   *   % Depr    </t>
  </si>
  <si>
    <t xml:space="preserve">     Machinery</t>
  </si>
  <si>
    <t xml:space="preserve">     Vehicles</t>
  </si>
  <si>
    <t xml:space="preserve">     Buildings</t>
  </si>
  <si>
    <t xml:space="preserve">     Breeding Livestock Replacments</t>
  </si>
  <si>
    <t xml:space="preserve">          Total Depreciation</t>
  </si>
  <si>
    <t>(D)</t>
  </si>
  <si>
    <t xml:space="preserve">          Total Expense (accural)</t>
  </si>
  <si>
    <t>(E)</t>
  </si>
  <si>
    <t>C + D</t>
  </si>
  <si>
    <t>Net Farm Income (accural)</t>
  </si>
  <si>
    <t>(F)</t>
  </si>
  <si>
    <t>B - E</t>
  </si>
  <si>
    <t xml:space="preserve">     Accrued Interest</t>
  </si>
  <si>
    <t>Net Hedging*</t>
  </si>
  <si>
    <t>*Net hedging: Withdrawals - Deposits</t>
  </si>
  <si>
    <t>Net Operating Profit</t>
  </si>
  <si>
    <t>B - C</t>
  </si>
  <si>
    <t>1b</t>
  </si>
  <si>
    <t>1a</t>
  </si>
  <si>
    <t>1c</t>
  </si>
  <si>
    <t>3a</t>
  </si>
  <si>
    <t>3b</t>
  </si>
  <si>
    <t>4a</t>
  </si>
  <si>
    <t>4b</t>
  </si>
  <si>
    <t>5a</t>
  </si>
  <si>
    <t>5b</t>
  </si>
  <si>
    <t>5c</t>
  </si>
  <si>
    <t>6a</t>
  </si>
  <si>
    <t>6b</t>
  </si>
  <si>
    <t>6d</t>
  </si>
  <si>
    <t>7</t>
  </si>
  <si>
    <t>8</t>
  </si>
  <si>
    <t>9</t>
  </si>
  <si>
    <t>2</t>
  </si>
  <si>
    <t>Cost or other basis of livestock or other items reported on line 1a</t>
  </si>
  <si>
    <t>Subtract 1b from 1a</t>
  </si>
  <si>
    <t>Cooperative distributions</t>
  </si>
  <si>
    <t>Taxable amount</t>
  </si>
  <si>
    <t>Agricultural program payments</t>
  </si>
  <si>
    <t>CCC loans reported under election</t>
  </si>
  <si>
    <t>CCC loan forfeited</t>
  </si>
  <si>
    <t>Amount deferred from previous year</t>
  </si>
  <si>
    <t>Custom hire (machine work) income</t>
  </si>
  <si>
    <t>Other income, including federal and state gasoline or fuel tax credit or refund</t>
  </si>
  <si>
    <t>Gross income (1c + 2 + 3b + 4b + 5a + 5c+ 6b + 6d + 7 + 8)</t>
  </si>
  <si>
    <t>Farm Income - Cash Method</t>
  </si>
  <si>
    <t>Farm Expenses - Cash and Accrual Method</t>
  </si>
  <si>
    <t>10</t>
  </si>
  <si>
    <t>11</t>
  </si>
  <si>
    <t>12</t>
  </si>
  <si>
    <t>13</t>
  </si>
  <si>
    <t>14</t>
  </si>
  <si>
    <t>15</t>
  </si>
  <si>
    <t>16</t>
  </si>
  <si>
    <t>17</t>
  </si>
  <si>
    <t>18</t>
  </si>
  <si>
    <t>19</t>
  </si>
  <si>
    <t>20</t>
  </si>
  <si>
    <t>21a</t>
  </si>
  <si>
    <t>21b</t>
  </si>
  <si>
    <t>22</t>
  </si>
  <si>
    <t>23</t>
  </si>
  <si>
    <t>24a</t>
  </si>
  <si>
    <t>24b</t>
  </si>
  <si>
    <t>25</t>
  </si>
  <si>
    <t>26</t>
  </si>
  <si>
    <t>27</t>
  </si>
  <si>
    <t>28</t>
  </si>
  <si>
    <t>29</t>
  </si>
  <si>
    <t>30</t>
  </si>
  <si>
    <t>31</t>
  </si>
  <si>
    <t>32a</t>
  </si>
  <si>
    <t>32b</t>
  </si>
  <si>
    <t>32c</t>
  </si>
  <si>
    <t>32d</t>
  </si>
  <si>
    <t>32e</t>
  </si>
  <si>
    <t>32f</t>
  </si>
  <si>
    <t>33</t>
  </si>
  <si>
    <t>Total expenses</t>
  </si>
  <si>
    <t>Other please specify</t>
  </si>
  <si>
    <t>34</t>
  </si>
  <si>
    <t>Net farm profit or (loss)                (Subtract line 33 from line 9)</t>
  </si>
  <si>
    <t>Car and truck expenses</t>
  </si>
  <si>
    <t>Chemicals</t>
  </si>
  <si>
    <t>Conservation expenses</t>
  </si>
  <si>
    <t>Custom hire (machine work)</t>
  </si>
  <si>
    <t>Depreciation and section 179</t>
  </si>
  <si>
    <t>Employee benefit programs other than on line 23</t>
  </si>
  <si>
    <t>Feed</t>
  </si>
  <si>
    <t>Fertilizers and lime</t>
  </si>
  <si>
    <t>Freight and trucking</t>
  </si>
  <si>
    <t>Gasoline, fuel, and oil</t>
  </si>
  <si>
    <t>Insurance (other than health)</t>
  </si>
  <si>
    <t>Interest - Mortgage (paid to banks, etc.)</t>
  </si>
  <si>
    <t>Interest - Other</t>
  </si>
  <si>
    <t>Labor hired (less employee credits)</t>
  </si>
  <si>
    <t>Pension and profit-sharing plans</t>
  </si>
  <si>
    <t>Rent or lease - Vehicles, machinery, equipment</t>
  </si>
  <si>
    <t>Rent or lease - Other (land, animals, etc.)</t>
  </si>
  <si>
    <t>Repairs and maintenance</t>
  </si>
  <si>
    <t>Seeds and plants</t>
  </si>
  <si>
    <t>Storage and warehousing</t>
  </si>
  <si>
    <t>Supplies</t>
  </si>
  <si>
    <t>Taxes</t>
  </si>
  <si>
    <t>Veterinary, breeding, and medicine</t>
  </si>
  <si>
    <t>Other information</t>
  </si>
  <si>
    <t>Cull income</t>
  </si>
  <si>
    <t>Feeder livestock purchases</t>
  </si>
  <si>
    <t>Value of labor &amp; management</t>
  </si>
  <si>
    <t>Form 1099-B Profit or loss</t>
  </si>
  <si>
    <t>Net hedging (withdrawals - deposits)</t>
  </si>
  <si>
    <t>(optional) Form 1099-b Aggregate profit or loss</t>
  </si>
  <si>
    <t>Capital Purchases</t>
  </si>
  <si>
    <t>Breeding livestock (excluding raised livestock)</t>
  </si>
  <si>
    <t>Machinery and equipment</t>
  </si>
  <si>
    <t>Titled vehicles</t>
  </si>
  <si>
    <t>Buildings and improvements</t>
  </si>
  <si>
    <t>Capital Sales</t>
  </si>
  <si>
    <r>
      <rPr>
        <b/>
        <sz val="12"/>
        <color indexed="8"/>
        <rFont val="Arial"/>
        <family val="2"/>
      </rPr>
      <t>Total Expense</t>
    </r>
    <r>
      <rPr>
        <sz val="12"/>
        <rFont val="Arial"/>
        <family val="2"/>
      </rPr>
      <t xml:space="preserve"> (sched F, line 33)</t>
    </r>
  </si>
  <si>
    <t>Use this worksheet to convert Schedule F tax
information to an accrual adjusted income statement.</t>
  </si>
  <si>
    <t>Depreciable</t>
  </si>
  <si>
    <t>information to an accrual adjusted income statement.</t>
  </si>
  <si>
    <t>Schedule F Input Worksheet</t>
  </si>
  <si>
    <t>End Value</t>
  </si>
  <si>
    <t>Beg Value</t>
  </si>
  <si>
    <t>% Depr</t>
  </si>
  <si>
    <t>Hedging</t>
  </si>
  <si>
    <t>Machinery</t>
  </si>
  <si>
    <t xml:space="preserve">     Breeding Livestock Replacements</t>
  </si>
  <si>
    <t>- Equipment Depreciation</t>
  </si>
  <si>
    <t>Direct Ag Expenses/Outflows</t>
  </si>
  <si>
    <t>Overhead Ag Expenses/Outflows</t>
  </si>
  <si>
    <t>Direct Marketing Direct Expenses/Outflows</t>
  </si>
  <si>
    <t>Direct Marketing Overhead Expenses/Outflows</t>
  </si>
  <si>
    <t>Total Direct Mkting Direct Expenses/Outflows</t>
  </si>
  <si>
    <t>Total Ag Overhead Expenses/Outflows</t>
  </si>
  <si>
    <t>Total Ag Direct Expenses/Outflows</t>
  </si>
  <si>
    <t>Misc Direct Mkt Overhead Expenses</t>
  </si>
  <si>
    <t>Other Direct Mkt Overhead Expenses</t>
  </si>
  <si>
    <t>Tot Direct Marketing Overhead Expenses/Outflows</t>
  </si>
  <si>
    <t>Direct Ag Expenses</t>
  </si>
  <si>
    <t>Total Ag Direct Expenses</t>
  </si>
  <si>
    <t>Overhead Ag Expenses</t>
  </si>
  <si>
    <t>Total Ag Overhead Expenses</t>
  </si>
  <si>
    <t>Total Ag Direct Expenses (-)</t>
  </si>
  <si>
    <t>Total Ag Overhead Expenses (-)</t>
  </si>
  <si>
    <t>Direct Marketing Direct Expenses</t>
  </si>
  <si>
    <t>Other Direct Mkt Direct Expenses</t>
  </si>
  <si>
    <t>Direct Marketing Overhead Expenses</t>
  </si>
  <si>
    <t>Total Direct Marketing Direct Expenses</t>
  </si>
  <si>
    <t>Total Direct Marketing Overhead Expenses</t>
  </si>
  <si>
    <t>Breeding livestock (excluding raised lvsk) Sales</t>
  </si>
  <si>
    <t>Land Sales</t>
  </si>
  <si>
    <t>Misc Operating Expenses</t>
  </si>
  <si>
    <t>Misc Overhead Expenses</t>
  </si>
  <si>
    <t>Other F Exp Choice</t>
  </si>
  <si>
    <t>Other Please Specify</t>
  </si>
  <si>
    <t>Count</t>
  </si>
  <si>
    <t>NameCheck</t>
  </si>
  <si>
    <t>RowArray</t>
  </si>
  <si>
    <t>Custom Hire + Freight &amp; Trucking</t>
  </si>
  <si>
    <t>Car &amp; truck expenses</t>
  </si>
  <si>
    <t>Conservation</t>
  </si>
  <si>
    <t>Field Crop Sales</t>
  </si>
  <si>
    <t>Land Purchase</t>
  </si>
  <si>
    <t>Capital Sales (+)</t>
  </si>
  <si>
    <t>Car &amp; Truck Expenses</t>
  </si>
  <si>
    <t>Beginning Inv</t>
  </si>
  <si>
    <t>Ending Inv</t>
  </si>
  <si>
    <t>Accrual Adjustments</t>
  </si>
  <si>
    <t>Prepaid Expenses &amp; Supplies</t>
  </si>
  <si>
    <t>Growing Crops</t>
  </si>
  <si>
    <t>Accounts Payable</t>
  </si>
  <si>
    <t>Vehicles</t>
  </si>
  <si>
    <t>Buildings</t>
  </si>
  <si>
    <t>Assets</t>
  </si>
  <si>
    <t>Income Statement</t>
  </si>
  <si>
    <t>Print this worksheet to convert Schedule F tax
information to an accrual adjusted income statement.</t>
  </si>
  <si>
    <t>Loan Payments</t>
  </si>
  <si>
    <t>Loan Borrowings</t>
  </si>
  <si>
    <t>Net cash from hedging</t>
  </si>
  <si>
    <t>- Net Cash from Hedging</t>
  </si>
  <si>
    <t>Net Cash from Hedging (+)</t>
  </si>
  <si>
    <r>
      <t xml:space="preserve">Sales of livestock and other </t>
    </r>
    <r>
      <rPr>
        <b/>
        <sz val="12"/>
        <rFont val="Arial"/>
        <family val="2"/>
      </rPr>
      <t>RESALE</t>
    </r>
    <r>
      <rPr>
        <sz val="12"/>
        <rFont val="Arial"/>
        <family val="2"/>
      </rPr>
      <t xml:space="preserve"> items</t>
    </r>
  </si>
  <si>
    <r>
      <t xml:space="preserve">Sales of livestock, produce, grains, and other products you </t>
    </r>
    <r>
      <rPr>
        <b/>
        <sz val="12"/>
        <rFont val="Arial"/>
        <family val="2"/>
      </rPr>
      <t>RAISED</t>
    </r>
  </si>
  <si>
    <t>Crop insurance proceeds and federal crop disaster payments - Amt received</t>
  </si>
  <si>
    <t>*Please choose from dropdown</t>
  </si>
  <si>
    <t>Other Information</t>
  </si>
  <si>
    <t>Avg. Weight</t>
  </si>
  <si>
    <t>Unit</t>
  </si>
  <si>
    <t>Cash balance (farm &amp; personal)</t>
  </si>
  <si>
    <t>Personal income</t>
  </si>
  <si>
    <t>Inheritances, gifts, contributed capital</t>
  </si>
  <si>
    <t>Family living / Owner withdrawals</t>
  </si>
  <si>
    <t>Income and social security tax</t>
  </si>
  <si>
    <t>Gifts give, distributed capital</t>
  </si>
  <si>
    <t>Misc Family Living</t>
  </si>
  <si>
    <t>Personal Assets - Purchases</t>
  </si>
  <si>
    <t>Stocks &amp; bonds</t>
  </si>
  <si>
    <t>Household furnishings</t>
  </si>
  <si>
    <t>Personal vehicles</t>
  </si>
  <si>
    <t>Cash value of life inurance</t>
  </si>
  <si>
    <t>Retirement accounts</t>
  </si>
  <si>
    <t>Personal business investment</t>
  </si>
  <si>
    <t>Personal real estate</t>
  </si>
  <si>
    <t>Personal Assets - Sales</t>
  </si>
  <si>
    <t xml:space="preserve">   </t>
  </si>
  <si>
    <t>Minimum Cash Balance</t>
  </si>
  <si>
    <t>Raised Breeding Livestock</t>
  </si>
  <si>
    <t>Purchased Breeding Livestock</t>
  </si>
  <si>
    <t>Raised &amp; Purchased Breeding Lvsk</t>
  </si>
  <si>
    <t>Purch Brd Lvsk</t>
  </si>
  <si>
    <t>Total Net Worth</t>
  </si>
  <si>
    <t>Total Business Assets</t>
  </si>
  <si>
    <t>Total Business Liabilities</t>
  </si>
  <si>
    <t>Total Business Net Worth</t>
  </si>
  <si>
    <t>NET FARM INCOME</t>
  </si>
  <si>
    <t>- Income Inventory Change</t>
  </si>
  <si>
    <t>Expense Inventory Changes</t>
  </si>
  <si>
    <t>Income</t>
  </si>
  <si>
    <t>Expenses</t>
  </si>
  <si>
    <t>Other Overhead</t>
  </si>
  <si>
    <t>Total Cash Expense</t>
  </si>
  <si>
    <t>Net Cash Income</t>
  </si>
  <si>
    <t>Accounts Receivable</t>
  </si>
  <si>
    <t>Prepaid Expenses</t>
  </si>
  <si>
    <t>Change</t>
  </si>
  <si>
    <t>Purch/Deposit</t>
  </si>
  <si>
    <t>Sales/Withdrawals</t>
  </si>
  <si>
    <t>Total Depreciation</t>
  </si>
  <si>
    <t>Total Accrual Adjustments</t>
  </si>
  <si>
    <t>Net Farm Income (accrual)</t>
  </si>
  <si>
    <t>Beg. Inv.</t>
  </si>
  <si>
    <t>End. Inv.</t>
  </si>
  <si>
    <t>Misc.</t>
  </si>
  <si>
    <t xml:space="preserve">Gov't Prog Exp, Taxes, Fees &amp; Assessments                                  </t>
  </si>
  <si>
    <t>Drying &amp; Storage</t>
  </si>
  <si>
    <t xml:space="preserve">     Purch Brd Lvsk</t>
  </si>
  <si>
    <t>Purchases</t>
  </si>
  <si>
    <t>Sales</t>
  </si>
  <si>
    <t xml:space="preserve">   Gross Cash Income</t>
  </si>
  <si>
    <t>Schedule F Cash to Accrual</t>
  </si>
  <si>
    <t>Accrual Adjusted</t>
  </si>
  <si>
    <t>Cash Flows</t>
  </si>
  <si>
    <t>Ag Investing Activities</t>
  </si>
  <si>
    <t>Total Ag Investing Activities</t>
  </si>
  <si>
    <t>Term Loans Interest Payments</t>
  </si>
  <si>
    <t>Operating Loan Interest Payments</t>
  </si>
  <si>
    <t>Operating Loan</t>
  </si>
  <si>
    <t>Beginning Operating Loan Balance</t>
  </si>
  <si>
    <t>Ending Operating Loan Balance</t>
  </si>
  <si>
    <t xml:space="preserve">Permit &amp; Fees Expenses                                                   </t>
  </si>
  <si>
    <t>Direct Marketing Investing Activities</t>
  </si>
  <si>
    <t>Total Direct Marketing Investing Activities</t>
  </si>
  <si>
    <t xml:space="preserve"> Ag Operating Loan Borrowings</t>
  </si>
  <si>
    <t xml:space="preserve"> Total Operating Loan Borrowings</t>
  </si>
  <si>
    <t>Direct Marketing New Operating Loan</t>
  </si>
  <si>
    <t>Direct Mkting Term Loan Interest Payments</t>
  </si>
  <si>
    <t>Tot Ag Financing Activities (Excl. Operating Loan)</t>
  </si>
  <si>
    <t>Ag Financing Activities (Excl. Operating Loan)</t>
  </si>
  <si>
    <t>Total Direct Marketing Financing Activities</t>
  </si>
  <si>
    <t>Direct Marketing Financing Activities (Excl Op Loan)</t>
  </si>
  <si>
    <t xml:space="preserve"> Direct Marketing New Credit</t>
  </si>
  <si>
    <t>Cash Balance</t>
  </si>
  <si>
    <t>Ending Cash</t>
  </si>
  <si>
    <t>Total Direct Marketing Direct Expenses (-)</t>
  </si>
  <si>
    <t>Total Direct Marketing Overhead Expenses (-)</t>
  </si>
  <si>
    <t>Net Income from Direct Marketing</t>
  </si>
  <si>
    <t>Direct Marketing Cash Flow Adjustments</t>
  </si>
  <si>
    <t>Income Statement Trend</t>
  </si>
  <si>
    <t>Personal Cash Flows</t>
  </si>
  <si>
    <t>Balance Sheet Value Vehicles Sold</t>
  </si>
  <si>
    <t>-Bus Vehicles Depreciation</t>
  </si>
  <si>
    <t>Bus. Vehicles Purchases</t>
  </si>
  <si>
    <t>Bus. Vehicles Sales</t>
  </si>
  <si>
    <t>+ Gain/Loss on Sale of Vehicles</t>
  </si>
  <si>
    <t>Statement of Owner's Equity</t>
  </si>
  <si>
    <t>Beginning Owner's Equity</t>
  </si>
  <si>
    <t>+ Net Farm Income</t>
  </si>
  <si>
    <t>+ Personal Income</t>
  </si>
  <si>
    <t>- Income Taxes Accrued</t>
  </si>
  <si>
    <t>- Family Living Withdrawals</t>
  </si>
  <si>
    <t>+ Change in Personal Assets</t>
  </si>
  <si>
    <t>+ Change in Nonfarm Accounts Payable</t>
  </si>
  <si>
    <t>Land &amp; other farm assets not listed</t>
  </si>
  <si>
    <t>Ending Owner's Equity Calculated</t>
  </si>
  <si>
    <t>Ending Owner's Equity</t>
  </si>
  <si>
    <t>Personal Liabilities (excl. income taxes)</t>
  </si>
  <si>
    <t>Gross  Cash Farm Income</t>
  </si>
  <si>
    <t>+ Net Cash from Hedging</t>
  </si>
  <si>
    <t>- Cash Farm Expenses</t>
  </si>
  <si>
    <t>= Cash from Operating</t>
  </si>
  <si>
    <t>Sale of breeding livestock</t>
  </si>
  <si>
    <t>- Purch of Breeding Livestock</t>
  </si>
  <si>
    <t>= Total Change in Owner's Equity</t>
  </si>
  <si>
    <t>+ Inheritances, Gifts, Contributed Capital</t>
  </si>
  <si>
    <t>- Gifts Given, Distributed Capital</t>
  </si>
  <si>
    <t>- Purch of Personal Assets</t>
  </si>
  <si>
    <t>= Cash from Investing</t>
  </si>
  <si>
    <t>Net Principal Payments less Borrowing</t>
  </si>
  <si>
    <t>- Family Living Expense</t>
  </si>
  <si>
    <t>- Income Taxes Paid</t>
  </si>
  <si>
    <t>+ Gifts Received</t>
  </si>
  <si>
    <t>= Cash from Financing</t>
  </si>
  <si>
    <t>Net Change in Cash</t>
  </si>
  <si>
    <t>Ending Cash Balance</t>
  </si>
  <si>
    <t>+ Sale of Business Assets</t>
  </si>
  <si>
    <t>- Purch of Business Assets</t>
  </si>
  <si>
    <t>+ Sale of Personal Assets</t>
  </si>
  <si>
    <t>Statement of Cash Flows</t>
  </si>
  <si>
    <t xml:space="preserve">                          - Gifts Given</t>
  </si>
  <si>
    <t>(a)</t>
  </si>
  <si>
    <t>(b)</t>
  </si>
  <si>
    <t>(a+b)</t>
  </si>
  <si>
    <t>Personal Loan Principal Payments</t>
  </si>
  <si>
    <t>Personal New Credit</t>
  </si>
  <si>
    <t>Interest</t>
  </si>
  <si>
    <r>
      <t xml:space="preserve">Copyright </t>
    </r>
    <r>
      <rPr>
        <sz val="9"/>
        <rFont val="Calibri"/>
        <family val="2"/>
      </rPr>
      <t>©</t>
    </r>
    <r>
      <rPr>
        <sz val="9"/>
        <rFont val="Arial"/>
        <family val="2"/>
      </rPr>
      <t>2021 Regents of the University of Minnesota.  All rights reserved.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</si>
</sst>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6">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409]mmmm\ d\,\ yyyy;@"/>
    <numFmt numFmtId="166" formatCode="_(&quot;$&quot;* #,##0_);_(&quot;$&quot;* \(#,##0\);_(&quot;$&quot;* &quot;-&quot;??_);_(@_)"/>
    <numFmt numFmtId="167" formatCode="&quot;$&quot;#,##0"/>
    <numFmt numFmtId="168" formatCode="_(&quot;$&quot;\ #,##0_);_(&quot;$&quot;* \(#,##0\);_(&quot;$&quot;* &quot;-&quot;??_);_(@_)"/>
    <numFmt numFmtId="169" formatCode="0.0%"/>
    <numFmt numFmtId="170" formatCode="_(* #,##0_);_(* \(#,##0\);_(* &quot;-&quot;??_);_(@_)"/>
    <numFmt numFmtId="171" formatCode="_(* #,##0.000_);_(* \(#,##0.000\);_(* &quot;-&quot;??_);_(@_)"/>
    <numFmt numFmtId="172" formatCode="0.000%"/>
  </numFmts>
  <fonts count="77" x14ac:knownFonts="1">
    <font>
      <sz val="10"/>
      <name val="Arial"/>
      <charset val="204"/>
    </font>
    <font>
      <sz val="10"/>
      <name val="Arial"/>
      <family val="2"/>
    </font>
    <font>
      <u/>
      <sz val="10"/>
      <color indexed="12"/>
      <name val="Arial"/>
      <family val="2"/>
    </font>
    <font>
      <b/>
      <i/>
      <sz val="12"/>
      <name val="Arial"/>
      <family val="2"/>
      <charset val="204"/>
    </font>
    <font>
      <sz val="10"/>
      <name val="Arial"/>
      <family val="2"/>
    </font>
    <font>
      <b/>
      <sz val="10"/>
      <name val="Arial"/>
      <family val="2"/>
    </font>
    <font>
      <b/>
      <i/>
      <sz val="14"/>
      <name val="Arial"/>
      <family val="2"/>
      <charset val="204"/>
    </font>
    <font>
      <b/>
      <i/>
      <sz val="10"/>
      <name val="Arial"/>
      <family val="2"/>
      <charset val="204"/>
    </font>
    <font>
      <u/>
      <sz val="10"/>
      <name val="Arial"/>
      <family val="2"/>
      <charset val="204"/>
    </font>
    <font>
      <b/>
      <sz val="12"/>
      <name val="Arial"/>
      <family val="2"/>
      <charset val="204"/>
    </font>
    <font>
      <b/>
      <i/>
      <sz val="8"/>
      <name val="Arial"/>
      <family val="2"/>
      <charset val="204"/>
    </font>
    <font>
      <sz val="8"/>
      <name val="Arial"/>
      <family val="2"/>
    </font>
    <font>
      <sz val="9"/>
      <name val="Arial"/>
      <family val="2"/>
      <charset val="204"/>
    </font>
    <font>
      <b/>
      <sz val="9"/>
      <name val="Arial"/>
      <family val="2"/>
      <charset val="204"/>
    </font>
    <font>
      <b/>
      <i/>
      <sz val="9"/>
      <name val="Arial"/>
      <family val="2"/>
      <charset val="204"/>
    </font>
    <font>
      <i/>
      <sz val="9"/>
      <name val="Arial"/>
      <family val="2"/>
      <charset val="204"/>
    </font>
    <font>
      <sz val="10"/>
      <name val="Arial"/>
      <family val="2"/>
    </font>
    <font>
      <b/>
      <i/>
      <sz val="12"/>
      <name val="Arial"/>
      <family val="2"/>
    </font>
    <font>
      <sz val="9"/>
      <name val="Arial"/>
      <family val="2"/>
    </font>
    <font>
      <b/>
      <sz val="12"/>
      <name val="Arial"/>
      <family val="2"/>
    </font>
    <font>
      <sz val="10"/>
      <name val="Arial"/>
      <family val="2"/>
    </font>
    <font>
      <b/>
      <sz val="11"/>
      <name val="Arial"/>
      <family val="2"/>
    </font>
    <font>
      <sz val="10"/>
      <name val="Arial"/>
      <family val="2"/>
      <charset val="204"/>
    </font>
    <font>
      <sz val="11"/>
      <name val="Arial"/>
      <family val="2"/>
    </font>
    <font>
      <b/>
      <sz val="10"/>
      <name val="Arial"/>
      <family val="2"/>
      <charset val="204"/>
    </font>
    <font>
      <u val="singleAccounting"/>
      <sz val="10"/>
      <name val="Arial"/>
      <family val="2"/>
    </font>
    <font>
      <b/>
      <sz val="9"/>
      <name val="Arial"/>
      <family val="2"/>
    </font>
    <font>
      <u/>
      <sz val="10"/>
      <name val="Arial"/>
      <family val="2"/>
    </font>
    <font>
      <b/>
      <sz val="9"/>
      <color theme="0"/>
      <name val="Arial"/>
      <family val="2"/>
      <charset val="204"/>
    </font>
    <font>
      <i/>
      <sz val="9"/>
      <color theme="1"/>
      <name val="Arial"/>
      <family val="2"/>
      <charset val="204"/>
    </font>
    <font>
      <sz val="10"/>
      <name val="Calibri"/>
      <family val="1"/>
      <scheme val="minor"/>
    </font>
    <font>
      <sz val="10"/>
      <name val="Arial"/>
      <family val="2"/>
    </font>
    <font>
      <sz val="11"/>
      <color theme="1"/>
      <name val="Agency FB"/>
      <family val="2"/>
    </font>
    <font>
      <sz val="11"/>
      <color rgb="FF3F3F76"/>
      <name val="Agency FB"/>
      <family val="2"/>
    </font>
    <font>
      <b/>
      <sz val="11"/>
      <color rgb="FFFA7D00"/>
      <name val="Agency FB"/>
      <family val="2"/>
    </font>
    <font>
      <sz val="10"/>
      <color theme="0" tint="-0.249977111117893"/>
      <name val="Arial"/>
      <family val="2"/>
    </font>
    <font>
      <b/>
      <i/>
      <sz val="11"/>
      <name val="Arial"/>
      <family val="2"/>
    </font>
    <font>
      <b/>
      <i/>
      <sz val="10"/>
      <name val="Arial"/>
      <family val="2"/>
    </font>
    <font>
      <b/>
      <sz val="10"/>
      <color theme="0" tint="-0.249977111117893"/>
      <name val="Arial"/>
      <family val="2"/>
    </font>
    <font>
      <sz val="9"/>
      <color rgb="FF000000"/>
      <name val="Verdana"/>
      <family val="2"/>
    </font>
    <font>
      <b/>
      <u/>
      <sz val="10"/>
      <color theme="4"/>
      <name val="Arial"/>
      <family val="2"/>
    </font>
    <font>
      <b/>
      <sz val="12"/>
      <color theme="0"/>
      <name val="Arial"/>
      <family val="2"/>
      <charset val="204"/>
    </font>
    <font>
      <sz val="10"/>
      <color theme="0"/>
      <name val="Arial"/>
      <family val="2"/>
    </font>
    <font>
      <b/>
      <i/>
      <sz val="9"/>
      <name val="Arial"/>
      <family val="2"/>
    </font>
    <font>
      <b/>
      <sz val="9"/>
      <color theme="1"/>
      <name val="Arial"/>
      <family val="2"/>
    </font>
    <font>
      <sz val="9"/>
      <name val="Calibri"/>
      <family val="2"/>
    </font>
    <font>
      <sz val="10"/>
      <color theme="1"/>
      <name val="Arial"/>
      <family val="2"/>
    </font>
    <font>
      <sz val="9"/>
      <color theme="1"/>
      <name val="Arial"/>
      <family val="2"/>
    </font>
    <font>
      <b/>
      <sz val="9"/>
      <color theme="0"/>
      <name val="Arial"/>
      <family val="2"/>
    </font>
    <font>
      <b/>
      <sz val="10"/>
      <color theme="0"/>
      <name val="Arial"/>
      <family val="2"/>
    </font>
    <font>
      <sz val="9"/>
      <color theme="1"/>
      <name val="Arial"/>
      <family val="2"/>
      <charset val="204"/>
    </font>
    <font>
      <b/>
      <i/>
      <sz val="8"/>
      <color theme="0"/>
      <name val="Arial"/>
      <family val="2"/>
      <charset val="204"/>
    </font>
    <font>
      <sz val="14"/>
      <name val="Arial"/>
      <family val="2"/>
    </font>
    <font>
      <sz val="18"/>
      <name val="Arial"/>
      <family val="2"/>
    </font>
    <font>
      <b/>
      <i/>
      <sz val="10"/>
      <color theme="0"/>
      <name val="Arial"/>
      <family val="2"/>
      <charset val="204"/>
    </font>
    <font>
      <sz val="10"/>
      <color rgb="FFFF0000"/>
      <name val="Arial"/>
      <family val="2"/>
    </font>
    <font>
      <b/>
      <i/>
      <sz val="12"/>
      <color theme="0"/>
      <name val="Arial"/>
      <family val="2"/>
      <charset val="204"/>
    </font>
    <font>
      <sz val="9"/>
      <color theme="0"/>
      <name val="Arial"/>
      <family val="2"/>
      <charset val="204"/>
    </font>
    <font>
      <sz val="10"/>
      <color rgb="FFC00000"/>
      <name val="Arial"/>
      <family val="2"/>
    </font>
    <font>
      <b/>
      <sz val="10"/>
      <color rgb="FFC00000"/>
      <name val="Arial"/>
      <family val="2"/>
    </font>
    <font>
      <sz val="18"/>
      <color theme="0"/>
      <name val="Arial"/>
      <family val="2"/>
    </font>
    <font>
      <b/>
      <sz val="10"/>
      <color theme="0"/>
      <name val="Arial"/>
      <family val="2"/>
    </font>
    <font>
      <sz val="10"/>
      <color theme="1"/>
      <name val="Arial"/>
      <family val="2"/>
    </font>
    <font>
      <sz val="10"/>
      <color theme="1"/>
      <name val="Arial"/>
      <family val="2"/>
    </font>
    <font>
      <b/>
      <i/>
      <sz val="11"/>
      <name val="Arial"/>
      <family val="2"/>
      <charset val="204"/>
    </font>
    <font>
      <b/>
      <sz val="11"/>
      <color theme="1"/>
      <name val="Calibri"/>
      <family val="2"/>
      <scheme val="minor"/>
    </font>
    <font>
      <sz val="12"/>
      <color theme="1"/>
      <name val="Arial"/>
      <family val="2"/>
    </font>
    <font>
      <b/>
      <sz val="12"/>
      <color theme="1"/>
      <name val="Arial"/>
      <family val="2"/>
    </font>
    <font>
      <sz val="12"/>
      <name val="Arial"/>
      <family val="2"/>
    </font>
    <font>
      <b/>
      <sz val="12"/>
      <color indexed="8"/>
      <name val="Arial"/>
      <family val="2"/>
    </font>
    <font>
      <b/>
      <i/>
      <sz val="14"/>
      <name val="Arial"/>
      <family val="2"/>
    </font>
    <font>
      <sz val="10"/>
      <color theme="1"/>
      <name val="Arial"/>
      <family val="2"/>
    </font>
    <font>
      <b/>
      <sz val="10"/>
      <color theme="0"/>
      <name val="Arial"/>
      <family val="2"/>
    </font>
    <font>
      <b/>
      <i/>
      <sz val="14"/>
      <color theme="1"/>
      <name val="Arial"/>
      <family val="2"/>
    </font>
    <font>
      <b/>
      <sz val="11"/>
      <color theme="1"/>
      <name val="Arial"/>
      <family val="2"/>
    </font>
    <font>
      <sz val="11"/>
      <color theme="1"/>
      <name val="Arial"/>
      <family val="2"/>
    </font>
    <font>
      <sz val="10"/>
      <color theme="7"/>
      <name val="Arial"/>
      <family val="2"/>
    </font>
  </fonts>
  <fills count="21">
    <fill>
      <patternFill patternType="none"/>
    </fill>
    <fill>
      <patternFill patternType="gray125"/>
    </fill>
    <fill>
      <patternFill patternType="solid">
        <fgColor theme="2" tint="-9.9978637043366805E-2"/>
        <bgColor indexed="64"/>
      </patternFill>
    </fill>
    <fill>
      <patternFill patternType="solid">
        <fgColor theme="4"/>
        <bgColor theme="4"/>
      </patternFill>
    </fill>
    <fill>
      <patternFill patternType="solid">
        <fgColor rgb="FFFFCC99"/>
      </patternFill>
    </fill>
    <fill>
      <patternFill patternType="solid">
        <fgColor rgb="FFF2F2F2"/>
      </patternFill>
    </fill>
    <fill>
      <patternFill patternType="solid">
        <fgColor theme="6" tint="0.79998168889431442"/>
        <bgColor theme="6" tint="0.79998168889431442"/>
      </patternFill>
    </fill>
    <fill>
      <patternFill patternType="solid">
        <fgColor theme="0"/>
        <bgColor indexed="64"/>
      </patternFill>
    </fill>
    <fill>
      <patternFill patternType="solid">
        <fgColor rgb="FFF0EFED"/>
        <bgColor theme="4" tint="0.59999389629810485"/>
      </patternFill>
    </fill>
    <fill>
      <patternFill patternType="solid">
        <fgColor rgb="FFF0EFED"/>
        <bgColor theme="4" tint="0.79998168889431442"/>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rgb="FF8CC052"/>
        <bgColor theme="4"/>
      </patternFill>
    </fill>
    <fill>
      <patternFill patternType="solid">
        <fgColor rgb="FF434953"/>
        <bgColor theme="4"/>
      </patternFill>
    </fill>
    <fill>
      <patternFill patternType="solid">
        <fgColor theme="0" tint="-0.14999847407452621"/>
        <bgColor indexed="64"/>
      </patternFill>
    </fill>
    <fill>
      <patternFill patternType="solid">
        <fgColor theme="3"/>
        <bgColor theme="4"/>
      </patternFill>
    </fill>
    <fill>
      <patternFill patternType="solid">
        <fgColor theme="7"/>
        <bgColor theme="7"/>
      </patternFill>
    </fill>
    <fill>
      <patternFill patternType="solid">
        <fgColor theme="7" tint="0.59999389629810485"/>
        <bgColor theme="7" tint="0.59999389629810485"/>
      </patternFill>
    </fill>
    <fill>
      <patternFill patternType="solid">
        <fgColor theme="7" tint="0.79998168889431442"/>
        <bgColor theme="7" tint="0.79998168889431442"/>
      </patternFill>
    </fill>
    <fill>
      <patternFill patternType="solid">
        <fgColor rgb="FFE1DFDB"/>
        <bgColor indexed="64"/>
      </patternFill>
    </fill>
    <fill>
      <patternFill patternType="solid">
        <fgColor rgb="FF92D050"/>
        <bgColor indexed="64"/>
      </patternFill>
    </fill>
  </fills>
  <borders count="83">
    <border>
      <left/>
      <right/>
      <top/>
      <bottom/>
      <diagonal/>
    </border>
    <border>
      <left/>
      <right/>
      <top style="thin">
        <color indexed="64"/>
      </top>
      <bottom style="double">
        <color indexed="64"/>
      </bottom>
      <diagonal/>
    </border>
    <border>
      <left/>
      <right/>
      <top style="thin">
        <color indexed="64"/>
      </top>
      <bottom style="thin">
        <color indexed="64"/>
      </bottom>
      <diagonal/>
    </border>
    <border>
      <left style="medium">
        <color indexed="11"/>
      </left>
      <right style="medium">
        <color indexed="11"/>
      </right>
      <top style="medium">
        <color indexed="11"/>
      </top>
      <bottom style="medium">
        <color indexed="11"/>
      </bottom>
      <diagonal/>
    </border>
    <border>
      <left/>
      <right/>
      <top/>
      <bottom style="thin">
        <color indexed="64"/>
      </bottom>
      <diagonal/>
    </border>
    <border>
      <left/>
      <right/>
      <top style="thin">
        <color indexed="64"/>
      </top>
      <bottom/>
      <diagonal/>
    </border>
    <border>
      <left style="medium">
        <color indexed="11"/>
      </left>
      <right/>
      <top style="medium">
        <color indexed="11"/>
      </top>
      <bottom style="medium">
        <color indexed="1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theme="0"/>
      </left>
      <right/>
      <top/>
      <bottom/>
      <diagonal/>
    </border>
    <border>
      <left/>
      <right/>
      <top style="thick">
        <color theme="0"/>
      </top>
      <bottom/>
      <diagonal/>
    </border>
    <border>
      <left style="thin">
        <color rgb="FF7F7F7F"/>
      </left>
      <right style="thin">
        <color rgb="FF7F7F7F"/>
      </right>
      <top style="thin">
        <color rgb="FF7F7F7F"/>
      </top>
      <bottom style="thin">
        <color rgb="FF7F7F7F"/>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thin">
        <color indexed="64"/>
      </right>
      <top style="medium">
        <color indexed="11"/>
      </top>
      <bottom style="medium">
        <color indexed="11"/>
      </bottom>
      <diagonal/>
    </border>
    <border>
      <left/>
      <right style="thin">
        <color indexed="64"/>
      </right>
      <top/>
      <bottom style="double">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theme="0"/>
      </left>
      <right/>
      <top style="thin">
        <color theme="0"/>
      </top>
      <bottom/>
      <diagonal/>
    </border>
    <border>
      <left style="thin">
        <color theme="0"/>
      </left>
      <right/>
      <top style="thick">
        <color theme="0"/>
      </top>
      <bottom/>
      <diagonal/>
    </border>
    <border>
      <left/>
      <right/>
      <top style="thin">
        <color theme="0"/>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double">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bottom style="double">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rgb="FF4A89DC"/>
      </left>
      <right style="thin">
        <color rgb="FF4A89DC"/>
      </right>
      <top style="thin">
        <color rgb="FF4A89DC"/>
      </top>
      <bottom style="thin">
        <color rgb="FF4A89DC"/>
      </bottom>
      <diagonal/>
    </border>
    <border>
      <left/>
      <right style="thin">
        <color theme="0"/>
      </right>
      <top style="thin">
        <color theme="0"/>
      </top>
      <bottom/>
      <diagonal/>
    </border>
    <border>
      <left style="thin">
        <color indexed="64"/>
      </left>
      <right style="medium">
        <color indexed="64"/>
      </right>
      <top style="thin">
        <color indexed="64"/>
      </top>
      <bottom style="medium">
        <color indexed="64"/>
      </bottom>
      <diagonal/>
    </border>
    <border>
      <left style="thin">
        <color indexed="64"/>
      </left>
      <right/>
      <top style="thick">
        <color theme="0"/>
      </top>
      <bottom/>
      <diagonal/>
    </border>
    <border>
      <left style="thin">
        <color indexed="64"/>
      </left>
      <right/>
      <top style="thin">
        <color theme="0"/>
      </top>
      <bottom/>
      <diagonal/>
    </border>
    <border>
      <left style="thin">
        <color indexed="64"/>
      </left>
      <right/>
      <top style="medium">
        <color indexed="64"/>
      </top>
      <bottom/>
      <diagonal/>
    </border>
    <border>
      <left style="medium">
        <color indexed="64"/>
      </left>
      <right/>
      <top style="thin">
        <color theme="0"/>
      </top>
      <bottom/>
      <diagonal/>
    </border>
    <border>
      <left style="thin">
        <color theme="0"/>
      </left>
      <right/>
      <top style="medium">
        <color indexed="64"/>
      </top>
      <bottom/>
      <diagonal/>
    </border>
    <border>
      <left style="thin">
        <color theme="0"/>
      </left>
      <right style="thin">
        <color indexed="64"/>
      </right>
      <top/>
      <bottom/>
      <diagonal/>
    </border>
    <border>
      <left style="thin">
        <color theme="0"/>
      </left>
      <right style="thin">
        <color indexed="64"/>
      </right>
      <top style="thick">
        <color theme="0"/>
      </top>
      <bottom/>
      <diagonal/>
    </border>
    <border>
      <left style="thin">
        <color theme="0"/>
      </left>
      <right style="thin">
        <color indexed="64"/>
      </right>
      <top style="thin">
        <color theme="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right style="thin">
        <color theme="0"/>
      </right>
      <top/>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9" fontId="20" fillId="0" borderId="0" applyFont="0" applyFill="0" applyBorder="0" applyAlignment="0" applyProtection="0"/>
    <xf numFmtId="0" fontId="30" fillId="0" borderId="0"/>
    <xf numFmtId="44" fontId="31" fillId="0" borderId="0" applyFont="0" applyFill="0" applyBorder="0" applyAlignment="0" applyProtection="0"/>
    <xf numFmtId="0" fontId="32" fillId="6" borderId="0" applyNumberFormat="0" applyBorder="0" applyAlignment="0" applyProtection="0"/>
    <xf numFmtId="0" fontId="33" fillId="4" borderId="17" applyNumberFormat="0" applyAlignment="0" applyProtection="0"/>
    <xf numFmtId="0" fontId="34" fillId="5" borderId="17" applyNumberFormat="0" applyAlignment="0" applyProtection="0"/>
  </cellStyleXfs>
  <cellXfs count="1453">
    <xf numFmtId="0" fontId="0" fillId="0" borderId="0" xfId="0"/>
    <xf numFmtId="0" fontId="3" fillId="0" borderId="0" xfId="0" applyNumberFormat="1" applyFont="1" applyFill="1" applyBorder="1" applyAlignment="1" applyProtection="1"/>
    <xf numFmtId="164" fontId="4" fillId="0" borderId="0" xfId="0" applyNumberFormat="1" applyFont="1"/>
    <xf numFmtId="0" fontId="4" fillId="0" borderId="0" xfId="0" applyNumberFormat="1" applyFont="1" applyFill="1" applyBorder="1" applyAlignment="1" applyProtection="1"/>
    <xf numFmtId="0" fontId="6" fillId="0" borderId="0" xfId="0" applyNumberFormat="1" applyFont="1" applyFill="1" applyBorder="1" applyAlignment="1" applyProtection="1"/>
    <xf numFmtId="0" fontId="5" fillId="0" borderId="0" xfId="0" applyNumberFormat="1" applyFont="1" applyFill="1" applyBorder="1" applyAlignment="1" applyProtection="1">
      <alignment horizontal="left"/>
    </xf>
    <xf numFmtId="5" fontId="4" fillId="0" borderId="0" xfId="0" applyNumberFormat="1" applyFont="1" applyFill="1" applyBorder="1" applyAlignment="1" applyProtection="1"/>
    <xf numFmtId="0" fontId="4" fillId="0" borderId="0" xfId="0" applyNumberFormat="1" applyFont="1" applyFill="1" applyBorder="1" applyAlignment="1" applyProtection="1">
      <protection locked="0"/>
    </xf>
    <xf numFmtId="0" fontId="4" fillId="0" borderId="0" xfId="0" applyNumberFormat="1" applyFont="1" applyFill="1" applyBorder="1" applyAlignment="1" applyProtection="1">
      <alignment horizontal="right"/>
    </xf>
    <xf numFmtId="5" fontId="4" fillId="0" borderId="0" xfId="0" applyNumberFormat="1" applyFont="1" applyFill="1" applyBorder="1" applyAlignment="1" applyProtection="1">
      <protection locked="0"/>
    </xf>
    <xf numFmtId="5" fontId="5" fillId="0" borderId="0" xfId="0" applyNumberFormat="1" applyFont="1" applyFill="1" applyBorder="1" applyAlignment="1" applyProtection="1">
      <alignment horizontal="right"/>
    </xf>
    <xf numFmtId="0" fontId="9" fillId="0" borderId="0" xfId="0" applyNumberFormat="1" applyFont="1" applyFill="1" applyBorder="1" applyAlignment="1" applyProtection="1"/>
    <xf numFmtId="0" fontId="9" fillId="0" borderId="0" xfId="0" applyNumberFormat="1" applyFont="1" applyFill="1" applyBorder="1" applyAlignment="1" applyProtection="1">
      <protection locked="0"/>
    </xf>
    <xf numFmtId="0" fontId="5" fillId="0" borderId="0" xfId="0" applyNumberFormat="1" applyFont="1" applyFill="1" applyBorder="1" applyAlignment="1" applyProtection="1"/>
    <xf numFmtId="0" fontId="12" fillId="0" borderId="0" xfId="0" applyNumberFormat="1" applyFont="1" applyFill="1" applyBorder="1" applyAlignment="1" applyProtection="1"/>
    <xf numFmtId="0" fontId="12" fillId="0" borderId="0" xfId="0" applyFont="1"/>
    <xf numFmtId="0" fontId="12" fillId="0" borderId="0" xfId="0" applyFont="1" applyProtection="1">
      <protection locked="0"/>
    </xf>
    <xf numFmtId="0" fontId="12" fillId="0" borderId="0" xfId="0" applyNumberFormat="1" applyFont="1" applyFill="1" applyBorder="1" applyAlignment="1" applyProtection="1">
      <protection locked="0"/>
    </xf>
    <xf numFmtId="0" fontId="13" fillId="0" borderId="0" xfId="0" applyNumberFormat="1" applyFont="1" applyFill="1" applyBorder="1" applyAlignment="1" applyProtection="1">
      <alignment horizontal="left"/>
    </xf>
    <xf numFmtId="0" fontId="12" fillId="0" borderId="0" xfId="0" applyFont="1" applyProtection="1"/>
    <xf numFmtId="5" fontId="12" fillId="0" borderId="0" xfId="0" applyNumberFormat="1" applyFont="1" applyFill="1" applyBorder="1" applyAlignment="1" applyProtection="1">
      <protection locked="0"/>
    </xf>
    <xf numFmtId="0" fontId="13" fillId="0" borderId="0" xfId="0" applyNumberFormat="1" applyFont="1" applyFill="1" applyBorder="1" applyAlignment="1" applyProtection="1">
      <alignment horizontal="right"/>
    </xf>
    <xf numFmtId="164" fontId="12" fillId="0" borderId="0" xfId="0" applyNumberFormat="1" applyFont="1" applyBorder="1"/>
    <xf numFmtId="0" fontId="12" fillId="0" borderId="0" xfId="0" applyNumberFormat="1" applyFont="1" applyFill="1" applyBorder="1" applyAlignment="1" applyProtection="1">
      <alignment horizontal="left"/>
    </xf>
    <xf numFmtId="164" fontId="3" fillId="0" borderId="0" xfId="0" applyNumberFormat="1" applyFont="1" applyAlignment="1">
      <alignment horizontal="left"/>
    </xf>
    <xf numFmtId="0" fontId="12" fillId="0" borderId="0" xfId="0" applyFont="1" applyFill="1" applyProtection="1">
      <protection locked="0"/>
    </xf>
    <xf numFmtId="5" fontId="12" fillId="0" borderId="0" xfId="0" applyNumberFormat="1" applyFont="1" applyFill="1" applyBorder="1" applyAlignment="1" applyProtection="1"/>
    <xf numFmtId="5" fontId="12" fillId="0" borderId="0" xfId="0" applyNumberFormat="1" applyFont="1" applyFill="1" applyBorder="1" applyAlignment="1" applyProtection="1">
      <alignment horizontal="right"/>
    </xf>
    <xf numFmtId="0" fontId="12" fillId="0" borderId="0" xfId="0" applyNumberFormat="1" applyFont="1" applyFill="1" applyBorder="1" applyAlignment="1" applyProtection="1">
      <alignment horizontal="right" wrapText="1"/>
    </xf>
    <xf numFmtId="0" fontId="13" fillId="0" borderId="0" xfId="0" applyNumberFormat="1" applyFont="1" applyFill="1" applyBorder="1" applyAlignment="1" applyProtection="1"/>
    <xf numFmtId="164" fontId="10" fillId="0" borderId="3" xfId="0" applyNumberFormat="1" applyFont="1" applyBorder="1" applyAlignment="1">
      <alignment horizontal="center"/>
    </xf>
    <xf numFmtId="0" fontId="10" fillId="0" borderId="0" xfId="0" applyNumberFormat="1" applyFont="1" applyFill="1" applyBorder="1" applyAlignment="1" applyProtection="1"/>
    <xf numFmtId="0" fontId="12" fillId="0" borderId="0" xfId="0" applyFont="1" applyBorder="1" applyProtection="1"/>
    <xf numFmtId="0" fontId="12" fillId="0" borderId="0" xfId="0" applyFont="1" applyBorder="1" applyProtection="1">
      <protection locked="0"/>
    </xf>
    <xf numFmtId="0" fontId="12" fillId="0" borderId="0" xfId="0" applyFont="1" applyFill="1" applyBorder="1" applyProtection="1">
      <protection locked="0"/>
    </xf>
    <xf numFmtId="0" fontId="15" fillId="0" borderId="0" xfId="0" applyNumberFormat="1" applyFont="1" applyFill="1" applyBorder="1" applyAlignment="1" applyProtection="1">
      <alignment horizontal="right"/>
    </xf>
    <xf numFmtId="5" fontId="15" fillId="0" borderId="0" xfId="0" applyNumberFormat="1" applyFont="1" applyFill="1" applyBorder="1" applyAlignment="1" applyProtection="1">
      <alignment horizontal="right"/>
    </xf>
    <xf numFmtId="0" fontId="9" fillId="0" borderId="0" xfId="0" applyNumberFormat="1" applyFont="1" applyFill="1" applyBorder="1" applyAlignment="1" applyProtection="1">
      <alignment horizontal="left"/>
    </xf>
    <xf numFmtId="0" fontId="12" fillId="0" borderId="0" xfId="0" applyFont="1" applyFill="1" applyProtection="1"/>
    <xf numFmtId="0" fontId="13" fillId="0" borderId="0" xfId="0" applyFont="1" applyBorder="1" applyAlignment="1" applyProtection="1">
      <alignment horizontal="center"/>
    </xf>
    <xf numFmtId="164" fontId="12" fillId="0" borderId="0" xfId="0" applyNumberFormat="1" applyFont="1" applyBorder="1" applyProtection="1"/>
    <xf numFmtId="0" fontId="0" fillId="0" borderId="0" xfId="0" applyBorder="1" applyProtection="1"/>
    <xf numFmtId="44" fontId="13" fillId="0" borderId="0" xfId="2" applyFont="1" applyBorder="1" applyProtection="1"/>
    <xf numFmtId="43" fontId="12" fillId="0" borderId="0" xfId="1" applyFont="1" applyFill="1" applyBorder="1" applyProtection="1"/>
    <xf numFmtId="0" fontId="4" fillId="0" borderId="0" xfId="0" applyNumberFormat="1" applyFont="1" applyFill="1" applyBorder="1" applyAlignment="1" applyProtection="1">
      <alignment horizontal="center"/>
    </xf>
    <xf numFmtId="44" fontId="12" fillId="0" borderId="0" xfId="2" applyFont="1" applyBorder="1"/>
    <xf numFmtId="0" fontId="4" fillId="0" borderId="0" xfId="0" applyNumberFormat="1" applyFont="1" applyFill="1" applyBorder="1" applyAlignment="1" applyProtection="1">
      <alignment horizontal="right" wrapText="1"/>
    </xf>
    <xf numFmtId="5" fontId="4" fillId="0" borderId="0" xfId="0" applyNumberFormat="1" applyFont="1" applyFill="1" applyBorder="1" applyAlignment="1" applyProtection="1">
      <alignment horizontal="right" wrapText="1"/>
    </xf>
    <xf numFmtId="5" fontId="0" fillId="0" borderId="0" xfId="0" applyNumberFormat="1" applyFont="1" applyFill="1" applyBorder="1" applyAlignment="1" applyProtection="1">
      <alignment horizontal="right" wrapText="1"/>
    </xf>
    <xf numFmtId="0" fontId="0" fillId="0" borderId="0" xfId="0" applyNumberFormat="1" applyFont="1" applyFill="1" applyBorder="1" applyAlignment="1" applyProtection="1">
      <alignment horizontal="right" wrapText="1"/>
    </xf>
    <xf numFmtId="0" fontId="16" fillId="0" borderId="0" xfId="0" applyNumberFormat="1" applyFont="1" applyFill="1" applyBorder="1" applyAlignment="1" applyProtection="1">
      <alignment horizontal="right" wrapText="1"/>
    </xf>
    <xf numFmtId="164" fontId="16" fillId="0" borderId="0" xfId="0" applyNumberFormat="1" applyFont="1"/>
    <xf numFmtId="44" fontId="4" fillId="0" borderId="0" xfId="0" applyNumberFormat="1" applyFont="1" applyFill="1" applyBorder="1" applyAlignment="1" applyProtection="1"/>
    <xf numFmtId="0" fontId="1" fillId="0" borderId="6" xfId="1" applyNumberFormat="1" applyFont="1" applyBorder="1" applyAlignment="1" applyProtection="1">
      <alignment horizontal="center" vertical="center"/>
      <protection locked="0"/>
    </xf>
    <xf numFmtId="164" fontId="1" fillId="0" borderId="0" xfId="0" applyNumberFormat="1" applyFont="1" applyAlignment="1">
      <alignment horizontal="center" vertical="center"/>
    </xf>
    <xf numFmtId="0" fontId="1" fillId="0" borderId="0" xfId="0" applyNumberFormat="1" applyFont="1" applyFill="1" applyBorder="1" applyAlignment="1" applyProtection="1">
      <alignment horizontal="right"/>
    </xf>
    <xf numFmtId="0" fontId="1" fillId="0" borderId="0" xfId="0" applyNumberFormat="1" applyFont="1" applyFill="1" applyBorder="1" applyAlignment="1" applyProtection="1"/>
    <xf numFmtId="0" fontId="1" fillId="0" borderId="0" xfId="0" applyFont="1"/>
    <xf numFmtId="0" fontId="0" fillId="0" borderId="0" xfId="0" applyAlignment="1">
      <alignment horizontal="right"/>
    </xf>
    <xf numFmtId="0" fontId="1" fillId="0" borderId="0" xfId="0" applyFont="1" applyAlignment="1">
      <alignment horizontal="right"/>
    </xf>
    <xf numFmtId="5" fontId="1" fillId="0" borderId="0" xfId="0" applyNumberFormat="1" applyFont="1" applyFill="1" applyBorder="1" applyAlignment="1" applyProtection="1">
      <alignment horizontal="right" wrapText="1"/>
    </xf>
    <xf numFmtId="0" fontId="1" fillId="0" borderId="0" xfId="0" applyNumberFormat="1" applyFont="1" applyFill="1" applyBorder="1" applyAlignment="1" applyProtection="1">
      <alignment horizontal="right" wrapText="1"/>
    </xf>
    <xf numFmtId="164" fontId="4" fillId="0" borderId="0" xfId="0" applyNumberFormat="1" applyFont="1" applyBorder="1"/>
    <xf numFmtId="164" fontId="19" fillId="0" borderId="0" xfId="0" applyNumberFormat="1" applyFont="1" applyBorder="1"/>
    <xf numFmtId="164" fontId="3" fillId="0" borderId="9" xfId="0" applyNumberFormat="1" applyFont="1" applyBorder="1" applyAlignment="1">
      <alignment horizontal="left"/>
    </xf>
    <xf numFmtId="164" fontId="4" fillId="0" borderId="10" xfId="0" applyNumberFormat="1" applyFont="1" applyBorder="1"/>
    <xf numFmtId="0" fontId="5" fillId="0" borderId="9" xfId="0" applyNumberFormat="1" applyFont="1" applyFill="1" applyBorder="1" applyAlignment="1" applyProtection="1"/>
    <xf numFmtId="0" fontId="1" fillId="0" borderId="0" xfId="1" applyNumberFormat="1" applyFont="1" applyBorder="1" applyAlignment="1" applyProtection="1">
      <alignment horizontal="center" vertical="center"/>
      <protection locked="0"/>
    </xf>
    <xf numFmtId="0" fontId="0" fillId="0" borderId="0" xfId="0" applyBorder="1"/>
    <xf numFmtId="0" fontId="12" fillId="0" borderId="0" xfId="0" applyNumberFormat="1" applyFont="1" applyFill="1" applyBorder="1" applyAlignment="1" applyProtection="1">
      <alignment horizontal="right"/>
    </xf>
    <xf numFmtId="0" fontId="12" fillId="0" borderId="0" xfId="0" applyNumberFormat="1" applyFont="1" applyFill="1" applyBorder="1" applyAlignment="1" applyProtection="1">
      <alignment horizontal="right"/>
    </xf>
    <xf numFmtId="0" fontId="5" fillId="0" borderId="9" xfId="0" applyNumberFormat="1" applyFont="1" applyFill="1" applyBorder="1" applyAlignment="1" applyProtection="1">
      <alignment horizontal="left"/>
    </xf>
    <xf numFmtId="164" fontId="12" fillId="0" borderId="0" xfId="0" applyNumberFormat="1" applyFont="1" applyBorder="1" applyAlignment="1" applyProtection="1">
      <alignment horizontal="center"/>
    </xf>
    <xf numFmtId="44" fontId="12" fillId="0" borderId="0" xfId="2" applyFont="1" applyBorder="1" applyProtection="1"/>
    <xf numFmtId="43" fontId="12" fillId="0" borderId="0" xfId="1" applyFont="1" applyBorder="1" applyProtection="1"/>
    <xf numFmtId="164" fontId="3" fillId="0" borderId="0" xfId="0" applyNumberFormat="1" applyFont="1" applyBorder="1" applyAlignment="1" applyProtection="1">
      <alignment horizontal="left"/>
    </xf>
    <xf numFmtId="164" fontId="13" fillId="0" borderId="0" xfId="0" applyNumberFormat="1" applyFont="1" applyBorder="1" applyAlignment="1" applyProtection="1">
      <alignment horizontal="left"/>
    </xf>
    <xf numFmtId="5" fontId="29" fillId="0" borderId="0" xfId="0" applyNumberFormat="1" applyFont="1" applyFill="1" applyBorder="1" applyAlignment="1">
      <alignment horizontal="right"/>
    </xf>
    <xf numFmtId="44" fontId="0" fillId="0" borderId="0" xfId="2" applyNumberFormat="1" applyFont="1" applyFill="1" applyBorder="1"/>
    <xf numFmtId="14" fontId="10" fillId="0" borderId="0" xfId="1" applyNumberFormat="1" applyFont="1" applyBorder="1" applyAlignment="1" applyProtection="1">
      <alignment horizontal="center"/>
    </xf>
    <xf numFmtId="0" fontId="10" fillId="0" borderId="0" xfId="0" applyNumberFormat="1" applyFont="1" applyFill="1" applyBorder="1" applyAlignment="1" applyProtection="1">
      <alignment horizontal="right"/>
    </xf>
    <xf numFmtId="164" fontId="6" fillId="0" borderId="0" xfId="0" applyNumberFormat="1" applyFont="1" applyBorder="1" applyAlignment="1" applyProtection="1">
      <alignment horizontal="left"/>
    </xf>
    <xf numFmtId="43" fontId="1" fillId="0" borderId="0" xfId="1" applyBorder="1" applyProtection="1"/>
    <xf numFmtId="0" fontId="13" fillId="0" borderId="0" xfId="0" applyFont="1" applyBorder="1" applyProtection="1"/>
    <xf numFmtId="43" fontId="13" fillId="0" borderId="0" xfId="1" applyFont="1" applyBorder="1" applyProtection="1"/>
    <xf numFmtId="0" fontId="12" fillId="0" borderId="0" xfId="0" applyFont="1" applyBorder="1"/>
    <xf numFmtId="0" fontId="12" fillId="0" borderId="0" xfId="0" applyFont="1" applyFill="1" applyBorder="1" applyProtection="1"/>
    <xf numFmtId="43" fontId="1" fillId="0" borderId="0" xfId="1" applyBorder="1"/>
    <xf numFmtId="0" fontId="17" fillId="0" borderId="0" xfId="0" applyFont="1" applyBorder="1" applyAlignment="1" applyProtection="1">
      <alignment horizontal="left" vertical="center"/>
    </xf>
    <xf numFmtId="0" fontId="13" fillId="0" borderId="0" xfId="0" applyFont="1" applyBorder="1" applyAlignment="1" applyProtection="1">
      <alignment horizontal="center" vertical="center"/>
    </xf>
    <xf numFmtId="0" fontId="13" fillId="0" borderId="0" xfId="0" applyNumberFormat="1" applyFont="1" applyFill="1" applyBorder="1" applyAlignment="1" applyProtection="1">
      <alignment vertical="center"/>
    </xf>
    <xf numFmtId="0" fontId="0" fillId="0" borderId="0" xfId="0" applyAlignment="1">
      <alignment vertical="center"/>
    </xf>
    <xf numFmtId="0" fontId="26" fillId="0" borderId="0" xfId="0" applyNumberFormat="1" applyFont="1" applyFill="1" applyBorder="1" applyAlignment="1" applyProtection="1">
      <alignment vertical="center"/>
    </xf>
    <xf numFmtId="0" fontId="5" fillId="0" borderId="0" xfId="0" applyFont="1" applyAlignment="1">
      <alignment vertical="center"/>
    </xf>
    <xf numFmtId="166" fontId="5" fillId="0" borderId="0" xfId="2" applyNumberFormat="1" applyFont="1" applyAlignment="1">
      <alignment vertical="center"/>
    </xf>
    <xf numFmtId="0" fontId="37" fillId="0" borderId="0" xfId="0" applyFont="1" applyAlignment="1">
      <alignment horizontal="right" vertical="center"/>
    </xf>
    <xf numFmtId="0" fontId="0" fillId="0" borderId="0" xfId="0" applyProtection="1">
      <protection hidden="1"/>
    </xf>
    <xf numFmtId="42" fontId="0" fillId="0" borderId="10" xfId="0" applyNumberFormat="1" applyBorder="1" applyProtection="1">
      <protection hidden="1"/>
    </xf>
    <xf numFmtId="0" fontId="1" fillId="0" borderId="9" xfId="0" applyFont="1" applyBorder="1" applyProtection="1">
      <protection hidden="1"/>
    </xf>
    <xf numFmtId="0" fontId="0" fillId="0" borderId="0" xfId="0" applyBorder="1" applyProtection="1">
      <protection hidden="1"/>
    </xf>
    <xf numFmtId="41" fontId="0" fillId="0" borderId="10" xfId="0" applyNumberFormat="1" applyBorder="1" applyProtection="1">
      <protection hidden="1"/>
    </xf>
    <xf numFmtId="166" fontId="5" fillId="0" borderId="14" xfId="0" applyNumberFormat="1" applyFont="1" applyBorder="1" applyProtection="1">
      <protection hidden="1"/>
    </xf>
    <xf numFmtId="42" fontId="0" fillId="0" borderId="10" xfId="2" applyNumberFormat="1" applyFont="1" applyBorder="1" applyProtection="1">
      <protection hidden="1"/>
    </xf>
    <xf numFmtId="0" fontId="0" fillId="0" borderId="9" xfId="0" applyBorder="1" applyProtection="1">
      <protection hidden="1"/>
    </xf>
    <xf numFmtId="166" fontId="5" fillId="0" borderId="14" xfId="2" applyNumberFormat="1" applyFont="1" applyBorder="1" applyProtection="1">
      <protection hidden="1"/>
    </xf>
    <xf numFmtId="166" fontId="0" fillId="0" borderId="0" xfId="0" applyNumberFormat="1" applyBorder="1" applyProtection="1">
      <protection hidden="1"/>
    </xf>
    <xf numFmtId="166" fontId="25" fillId="0" borderId="0" xfId="0" applyNumberFormat="1" applyFont="1" applyBorder="1" applyProtection="1">
      <protection hidden="1"/>
    </xf>
    <xf numFmtId="166" fontId="21" fillId="0" borderId="4" xfId="0" applyNumberFormat="1" applyFont="1" applyBorder="1" applyProtection="1">
      <protection hidden="1"/>
    </xf>
    <xf numFmtId="0" fontId="19" fillId="0" borderId="5" xfId="0" applyFont="1" applyBorder="1" applyAlignment="1" applyProtection="1">
      <protection hidden="1"/>
    </xf>
    <xf numFmtId="2" fontId="0" fillId="0" borderId="0" xfId="0" applyNumberFormat="1" applyBorder="1" applyAlignment="1" applyProtection="1">
      <alignment horizontal="center"/>
      <protection hidden="1"/>
    </xf>
    <xf numFmtId="9" fontId="0" fillId="0" borderId="0" xfId="4" applyFont="1" applyBorder="1" applyAlignment="1" applyProtection="1">
      <alignment horizontal="center"/>
      <protection hidden="1"/>
    </xf>
    <xf numFmtId="42" fontId="0" fillId="0" borderId="0" xfId="2" applyNumberFormat="1" applyFont="1" applyBorder="1" applyProtection="1">
      <protection hidden="1"/>
    </xf>
    <xf numFmtId="41" fontId="0" fillId="0" borderId="0" xfId="2" applyNumberFormat="1" applyFont="1" applyBorder="1" applyProtection="1">
      <protection hidden="1"/>
    </xf>
    <xf numFmtId="42" fontId="5" fillId="0" borderId="4" xfId="2" applyNumberFormat="1" applyFont="1" applyBorder="1" applyProtection="1">
      <protection hidden="1"/>
    </xf>
    <xf numFmtId="0" fontId="0" fillId="0" borderId="5" xfId="0" applyBorder="1" applyProtection="1">
      <protection hidden="1"/>
    </xf>
    <xf numFmtId="42" fontId="0" fillId="0" borderId="0" xfId="0" applyNumberFormat="1" applyBorder="1" applyProtection="1">
      <protection hidden="1"/>
    </xf>
    <xf numFmtId="42" fontId="27" fillId="0" borderId="0" xfId="2" applyNumberFormat="1" applyFont="1" applyBorder="1" applyProtection="1">
      <protection hidden="1"/>
    </xf>
    <xf numFmtId="0" fontId="1" fillId="0" borderId="25" xfId="0" applyFont="1" applyBorder="1" applyAlignment="1" applyProtection="1">
      <alignment horizontal="right"/>
      <protection hidden="1"/>
    </xf>
    <xf numFmtId="42" fontId="0" fillId="0" borderId="26" xfId="0" applyNumberFormat="1" applyBorder="1" applyProtection="1">
      <protection hidden="1"/>
    </xf>
    <xf numFmtId="41" fontId="0" fillId="0" borderId="26" xfId="0" applyNumberFormat="1" applyBorder="1" applyProtection="1">
      <protection hidden="1"/>
    </xf>
    <xf numFmtId="0" fontId="5" fillId="0" borderId="27" xfId="0" applyFont="1" applyBorder="1" applyProtection="1">
      <protection hidden="1"/>
    </xf>
    <xf numFmtId="166" fontId="5" fillId="0" borderId="28" xfId="0" applyNumberFormat="1" applyFont="1" applyBorder="1" applyProtection="1">
      <protection hidden="1"/>
    </xf>
    <xf numFmtId="5" fontId="22" fillId="0" borderId="25" xfId="0" applyNumberFormat="1" applyFont="1" applyFill="1" applyBorder="1" applyAlignment="1" applyProtection="1">
      <alignment horizontal="right"/>
      <protection hidden="1"/>
    </xf>
    <xf numFmtId="166" fontId="0" fillId="0" borderId="26" xfId="0" applyNumberFormat="1" applyBorder="1" applyProtection="1">
      <protection hidden="1"/>
    </xf>
    <xf numFmtId="0" fontId="24" fillId="0" borderId="27" xfId="0" applyNumberFormat="1" applyFont="1" applyFill="1" applyBorder="1" applyAlignment="1" applyProtection="1">
      <alignment horizontal="left"/>
      <protection hidden="1"/>
    </xf>
    <xf numFmtId="0" fontId="25" fillId="0" borderId="25" xfId="0" applyNumberFormat="1" applyFont="1" applyFill="1" applyBorder="1" applyAlignment="1" applyProtection="1">
      <alignment horizontal="right"/>
      <protection hidden="1"/>
    </xf>
    <xf numFmtId="166" fontId="25" fillId="0" borderId="26" xfId="0" applyNumberFormat="1" applyFont="1" applyBorder="1" applyProtection="1">
      <protection hidden="1"/>
    </xf>
    <xf numFmtId="0" fontId="21" fillId="0" borderId="27" xfId="0" applyFont="1" applyBorder="1" applyAlignment="1" applyProtection="1">
      <alignment horizontal="left" indent="1"/>
      <protection hidden="1"/>
    </xf>
    <xf numFmtId="166" fontId="21" fillId="0" borderId="28" xfId="0" applyNumberFormat="1" applyFont="1" applyBorder="1" applyProtection="1">
      <protection hidden="1"/>
    </xf>
    <xf numFmtId="0" fontId="0" fillId="0" borderId="26" xfId="0" applyBorder="1" applyProtection="1">
      <protection hidden="1"/>
    </xf>
    <xf numFmtId="9" fontId="0" fillId="0" borderId="18" xfId="4" applyFont="1" applyBorder="1" applyAlignment="1" applyProtection="1">
      <alignment horizontal="center"/>
      <protection hidden="1"/>
    </xf>
    <xf numFmtId="0" fontId="0" fillId="0" borderId="18" xfId="0" applyBorder="1" applyProtection="1">
      <protection hidden="1"/>
    </xf>
    <xf numFmtId="0" fontId="0" fillId="0" borderId="30" xfId="0" applyBorder="1" applyProtection="1">
      <protection hidden="1"/>
    </xf>
    <xf numFmtId="42" fontId="0" fillId="0" borderId="26" xfId="2" applyNumberFormat="1" applyFont="1" applyBorder="1" applyProtection="1">
      <protection hidden="1"/>
    </xf>
    <xf numFmtId="41" fontId="0" fillId="0" borderId="26" xfId="2" applyNumberFormat="1" applyFont="1" applyBorder="1" applyProtection="1">
      <protection hidden="1"/>
    </xf>
    <xf numFmtId="42" fontId="5" fillId="0" borderId="26" xfId="2" applyNumberFormat="1" applyFont="1" applyBorder="1" applyProtection="1">
      <protection hidden="1"/>
    </xf>
    <xf numFmtId="166" fontId="0" fillId="0" borderId="26" xfId="2" applyNumberFormat="1" applyFont="1" applyBorder="1" applyProtection="1">
      <protection hidden="1"/>
    </xf>
    <xf numFmtId="42" fontId="21" fillId="0" borderId="28" xfId="2" applyNumberFormat="1" applyFont="1" applyBorder="1" applyProtection="1">
      <protection hidden="1"/>
    </xf>
    <xf numFmtId="0" fontId="0" fillId="0" borderId="23" xfId="0" applyBorder="1" applyProtection="1">
      <protection hidden="1"/>
    </xf>
    <xf numFmtId="0" fontId="0" fillId="0" borderId="24" xfId="0" applyBorder="1" applyProtection="1">
      <protection hidden="1"/>
    </xf>
    <xf numFmtId="0" fontId="1" fillId="0" borderId="25" xfId="0" applyFont="1" applyBorder="1" applyProtection="1">
      <protection hidden="1"/>
    </xf>
    <xf numFmtId="0" fontId="27" fillId="0" borderId="25" xfId="0" applyFont="1" applyBorder="1" applyProtection="1">
      <protection hidden="1"/>
    </xf>
    <xf numFmtId="42" fontId="27" fillId="0" borderId="26" xfId="2" applyNumberFormat="1" applyFont="1" applyBorder="1" applyProtection="1">
      <protection hidden="1"/>
    </xf>
    <xf numFmtId="42" fontId="5" fillId="0" borderId="26" xfId="0" applyNumberFormat="1" applyFont="1" applyBorder="1" applyProtection="1">
      <protection hidden="1"/>
    </xf>
    <xf numFmtId="43" fontId="4" fillId="0" borderId="0" xfId="1" applyFont="1" applyBorder="1" applyAlignment="1" applyProtection="1">
      <alignment horizontal="right"/>
      <protection locked="0"/>
    </xf>
    <xf numFmtId="164" fontId="4" fillId="0" borderId="0" xfId="0" applyNumberFormat="1" applyFont="1" applyBorder="1" applyProtection="1">
      <protection hidden="1"/>
    </xf>
    <xf numFmtId="5" fontId="35" fillId="0" borderId="0" xfId="0" applyNumberFormat="1" applyFont="1" applyFill="1" applyBorder="1" applyAlignment="1" applyProtection="1"/>
    <xf numFmtId="0" fontId="4" fillId="0" borderId="0" xfId="0" applyNumberFormat="1" applyFont="1" applyFill="1" applyBorder="1" applyAlignment="1" applyProtection="1">
      <alignment horizontal="right" wrapText="1"/>
      <protection locked="0"/>
    </xf>
    <xf numFmtId="43" fontId="4" fillId="0" borderId="0" xfId="1" applyFont="1" applyBorder="1" applyAlignment="1" applyProtection="1">
      <alignment horizontal="right" wrapText="1"/>
      <protection locked="0"/>
    </xf>
    <xf numFmtId="0" fontId="1" fillId="0" borderId="29" xfId="0" applyFont="1" applyBorder="1" applyAlignment="1" applyProtection="1">
      <alignment horizontal="right"/>
      <protection hidden="1"/>
    </xf>
    <xf numFmtId="0" fontId="1" fillId="0" borderId="25" xfId="0" applyFont="1" applyBorder="1" applyAlignment="1" applyProtection="1">
      <alignment horizontal="right"/>
      <protection hidden="1"/>
    </xf>
    <xf numFmtId="0" fontId="21" fillId="0" borderId="0" xfId="0" applyFont="1" applyAlignment="1" applyProtection="1">
      <alignment horizontal="right"/>
      <protection hidden="1"/>
    </xf>
    <xf numFmtId="0" fontId="4" fillId="0" borderId="0" xfId="0" applyNumberFormat="1" applyFont="1" applyFill="1" applyBorder="1" applyAlignment="1" applyProtection="1">
      <alignment horizontal="right"/>
      <protection locked="0"/>
    </xf>
    <xf numFmtId="0" fontId="4" fillId="0" borderId="0" xfId="0" applyFont="1" applyBorder="1" applyAlignment="1">
      <alignment horizontal="right"/>
    </xf>
    <xf numFmtId="0" fontId="0" fillId="0" borderId="25" xfId="0" applyBorder="1" applyProtection="1">
      <protection hidden="1"/>
    </xf>
    <xf numFmtId="5" fontId="0" fillId="0" borderId="18" xfId="2" applyNumberFormat="1" applyFont="1" applyBorder="1" applyAlignment="1" applyProtection="1">
      <alignment horizontal="center"/>
      <protection hidden="1"/>
    </xf>
    <xf numFmtId="164" fontId="4" fillId="0" borderId="0" xfId="0" applyNumberFormat="1" applyFont="1" applyBorder="1" applyAlignment="1">
      <alignment horizontal="center"/>
    </xf>
    <xf numFmtId="0" fontId="1" fillId="0" borderId="0" xfId="0" applyNumberFormat="1" applyFont="1" applyFill="1" applyBorder="1" applyAlignment="1" applyProtection="1">
      <alignment horizontal="right"/>
      <protection locked="0"/>
    </xf>
    <xf numFmtId="0" fontId="1" fillId="0" borderId="0" xfId="0" applyFont="1" applyBorder="1" applyAlignment="1">
      <alignment horizontal="right"/>
    </xf>
    <xf numFmtId="0" fontId="5" fillId="0" borderId="2" xfId="0" applyNumberFormat="1" applyFont="1" applyFill="1" applyBorder="1" applyAlignment="1" applyProtection="1">
      <alignment horizontal="right"/>
    </xf>
    <xf numFmtId="5" fontId="5" fillId="0" borderId="2" xfId="0" applyNumberFormat="1" applyFont="1" applyFill="1" applyBorder="1" applyAlignment="1" applyProtection="1">
      <alignment horizontal="right"/>
    </xf>
    <xf numFmtId="164" fontId="7" fillId="0" borderId="34" xfId="0" applyNumberFormat="1" applyFont="1" applyBorder="1" applyAlignment="1">
      <alignment horizontal="left"/>
    </xf>
    <xf numFmtId="5" fontId="38" fillId="0" borderId="16" xfId="0" applyNumberFormat="1" applyFont="1" applyFill="1" applyBorder="1" applyAlignment="1"/>
    <xf numFmtId="0" fontId="35" fillId="0" borderId="0" xfId="0" applyNumberFormat="1" applyFont="1" applyFill="1" applyBorder="1" applyAlignment="1" applyProtection="1"/>
    <xf numFmtId="5" fontId="38" fillId="0" borderId="0" xfId="0" applyNumberFormat="1" applyFont="1" applyFill="1" applyBorder="1" applyAlignment="1" applyProtection="1"/>
    <xf numFmtId="0" fontId="2" fillId="0" borderId="0" xfId="3" quotePrefix="1" applyAlignment="1" applyProtection="1"/>
    <xf numFmtId="0" fontId="39" fillId="0" borderId="0" xfId="0" applyFont="1"/>
    <xf numFmtId="0" fontId="4" fillId="0" borderId="0" xfId="0" applyNumberFormat="1" applyFont="1" applyFill="1" applyBorder="1" applyAlignment="1" applyProtection="1">
      <alignment horizontal="left"/>
    </xf>
    <xf numFmtId="0" fontId="37" fillId="0" borderId="2" xfId="0" applyNumberFormat="1" applyFont="1" applyFill="1" applyBorder="1" applyAlignment="1" applyProtection="1"/>
    <xf numFmtId="164" fontId="7" fillId="0" borderId="2" xfId="0" applyNumberFormat="1" applyFont="1" applyBorder="1" applyAlignment="1">
      <alignment horizontal="left"/>
    </xf>
    <xf numFmtId="0" fontId="41" fillId="0" borderId="0" xfId="0" applyNumberFormat="1" applyFont="1" applyFill="1" applyBorder="1" applyAlignment="1" applyProtection="1">
      <alignment horizontal="left"/>
      <protection hidden="1"/>
    </xf>
    <xf numFmtId="0" fontId="42" fillId="0" borderId="0" xfId="0" applyNumberFormat="1" applyFont="1" applyFill="1" applyBorder="1" applyAlignment="1" applyProtection="1">
      <protection hidden="1"/>
    </xf>
    <xf numFmtId="5" fontId="42" fillId="0" borderId="0" xfId="0" applyNumberFormat="1" applyFont="1" applyFill="1" applyBorder="1" applyAlignment="1" applyProtection="1">
      <protection hidden="1"/>
    </xf>
    <xf numFmtId="5" fontId="1" fillId="0" borderId="0" xfId="0" applyNumberFormat="1" applyFont="1" applyFill="1" applyBorder="1" applyAlignment="1" applyProtection="1">
      <alignment vertical="center" wrapText="1"/>
    </xf>
    <xf numFmtId="5" fontId="4" fillId="0" borderId="0" xfId="0" applyNumberFormat="1" applyFont="1" applyFill="1" applyBorder="1" applyAlignment="1" applyProtection="1">
      <alignment vertical="center" wrapText="1"/>
    </xf>
    <xf numFmtId="0" fontId="40" fillId="0" borderId="14" xfId="0" applyFont="1" applyBorder="1" applyAlignment="1" applyProtection="1">
      <alignment horizontal="center" vertical="center" wrapText="1"/>
      <protection hidden="1"/>
    </xf>
    <xf numFmtId="0" fontId="1" fillId="0" borderId="9" xfId="0" applyNumberFormat="1" applyFont="1" applyFill="1" applyBorder="1" applyAlignment="1" applyProtection="1">
      <alignment horizontal="right"/>
    </xf>
    <xf numFmtId="43" fontId="4" fillId="0" borderId="9" xfId="1" applyFont="1" applyBorder="1" applyAlignment="1" applyProtection="1">
      <alignment horizontal="right"/>
      <protection locked="0"/>
    </xf>
    <xf numFmtId="0" fontId="5" fillId="0" borderId="9" xfId="0" applyNumberFormat="1" applyFont="1" applyFill="1" applyBorder="1" applyAlignment="1" applyProtection="1">
      <alignment horizontal="right"/>
    </xf>
    <xf numFmtId="0" fontId="1" fillId="0" borderId="9" xfId="0" applyNumberFormat="1" applyFont="1" applyFill="1" applyBorder="1" applyAlignment="1" applyProtection="1"/>
    <xf numFmtId="164" fontId="1" fillId="0" borderId="10" xfId="0" applyNumberFormat="1" applyFont="1" applyBorder="1"/>
    <xf numFmtId="164" fontId="4" fillId="0" borderId="10" xfId="0" applyNumberFormat="1" applyFont="1" applyBorder="1" applyProtection="1">
      <protection hidden="1"/>
    </xf>
    <xf numFmtId="5" fontId="5" fillId="0" borderId="9" xfId="0" applyNumberFormat="1" applyFont="1" applyFill="1" applyBorder="1" applyAlignment="1" applyProtection="1">
      <alignment horizontal="right"/>
    </xf>
    <xf numFmtId="0" fontId="1" fillId="0" borderId="9" xfId="0" quotePrefix="1" applyNumberFormat="1" applyFont="1" applyFill="1" applyBorder="1" applyAlignment="1" applyProtection="1">
      <alignment horizontal="right"/>
    </xf>
    <xf numFmtId="0" fontId="17" fillId="0" borderId="11" xfId="0" applyNumberFormat="1" applyFont="1" applyFill="1" applyBorder="1" applyAlignment="1" applyProtection="1"/>
    <xf numFmtId="0" fontId="6" fillId="0" borderId="9" xfId="0" applyNumberFormat="1" applyFont="1" applyFill="1" applyBorder="1" applyAlignment="1" applyProtection="1"/>
    <xf numFmtId="164" fontId="1" fillId="0" borderId="0" xfId="0" applyNumberFormat="1" applyFont="1" applyBorder="1" applyAlignment="1">
      <alignment horizontal="center" vertical="center"/>
    </xf>
    <xf numFmtId="164" fontId="1" fillId="0" borderId="10" xfId="0" applyNumberFormat="1" applyFont="1" applyBorder="1" applyAlignment="1">
      <alignment horizontal="center" vertical="center"/>
    </xf>
    <xf numFmtId="0" fontId="7" fillId="0" borderId="9" xfId="0" applyNumberFormat="1" applyFont="1" applyFill="1" applyBorder="1" applyAlignment="1" applyProtection="1">
      <alignment horizontal="right"/>
    </xf>
    <xf numFmtId="0" fontId="1" fillId="0" borderId="35" xfId="1" applyNumberFormat="1" applyFont="1" applyBorder="1" applyAlignment="1" applyProtection="1">
      <alignment horizontal="center" vertical="center"/>
      <protection locked="0"/>
    </xf>
    <xf numFmtId="0" fontId="2" fillId="0" borderId="9" xfId="3" applyBorder="1" applyAlignment="1" applyProtection="1"/>
    <xf numFmtId="0" fontId="4" fillId="0" borderId="9" xfId="0" applyNumberFormat="1" applyFont="1" applyFill="1" applyBorder="1" applyAlignment="1" applyProtection="1"/>
    <xf numFmtId="0" fontId="4" fillId="0" borderId="9" xfId="0" applyNumberFormat="1" applyFont="1" applyFill="1" applyBorder="1" applyAlignment="1" applyProtection="1">
      <alignment horizontal="right" wrapText="1"/>
    </xf>
    <xf numFmtId="0" fontId="1" fillId="0" borderId="9" xfId="0" applyNumberFormat="1" applyFont="1" applyFill="1" applyBorder="1" applyAlignment="1" applyProtection="1">
      <alignment horizontal="right" wrapText="1"/>
    </xf>
    <xf numFmtId="0" fontId="4" fillId="0" borderId="9" xfId="0" applyNumberFormat="1" applyFont="1" applyFill="1" applyBorder="1" applyAlignment="1" applyProtection="1">
      <alignment horizontal="right"/>
      <protection locked="0"/>
    </xf>
    <xf numFmtId="0" fontId="4" fillId="0" borderId="9" xfId="0" applyFont="1" applyBorder="1" applyAlignment="1">
      <alignment horizontal="right"/>
    </xf>
    <xf numFmtId="0" fontId="1" fillId="0" borderId="9" xfId="0" applyNumberFormat="1" applyFont="1" applyFill="1" applyBorder="1" applyAlignment="1" applyProtection="1">
      <alignment horizontal="right"/>
      <protection locked="0"/>
    </xf>
    <xf numFmtId="0" fontId="16" fillId="0" borderId="9" xfId="0" applyNumberFormat="1" applyFont="1" applyFill="1" applyBorder="1" applyAlignment="1" applyProtection="1">
      <alignment horizontal="right" wrapText="1"/>
    </xf>
    <xf numFmtId="0" fontId="4" fillId="0" borderId="11" xfId="0" applyNumberFormat="1" applyFont="1" applyFill="1" applyBorder="1" applyAlignment="1" applyProtection="1"/>
    <xf numFmtId="164" fontId="4" fillId="0" borderId="4" xfId="0" applyNumberFormat="1" applyFont="1" applyBorder="1"/>
    <xf numFmtId="164" fontId="4" fillId="0" borderId="14" xfId="0" applyNumberFormat="1" applyFont="1" applyBorder="1"/>
    <xf numFmtId="166" fontId="4" fillId="0" borderId="0" xfId="2" applyNumberFormat="1" applyFont="1" applyBorder="1" applyProtection="1">
      <protection hidden="1"/>
    </xf>
    <xf numFmtId="166" fontId="4" fillId="0" borderId="0" xfId="1" applyNumberFormat="1" applyFont="1" applyBorder="1" applyProtection="1">
      <protection hidden="1"/>
    </xf>
    <xf numFmtId="166" fontId="4" fillId="0" borderId="0" xfId="0" applyNumberFormat="1" applyFont="1" applyFill="1" applyBorder="1" applyAlignment="1" applyProtection="1">
      <protection hidden="1"/>
    </xf>
    <xf numFmtId="166" fontId="4" fillId="0" borderId="0" xfId="0" applyNumberFormat="1" applyFont="1" applyBorder="1" applyProtection="1">
      <protection hidden="1"/>
    </xf>
    <xf numFmtId="166" fontId="4" fillId="0" borderId="0" xfId="0" applyNumberFormat="1" applyFont="1" applyFill="1" applyBorder="1" applyAlignment="1" applyProtection="1"/>
    <xf numFmtId="164" fontId="4" fillId="0" borderId="0" xfId="0" applyNumberFormat="1" applyFont="1" applyBorder="1" applyAlignment="1">
      <alignment horizontal="right"/>
    </xf>
    <xf numFmtId="0" fontId="0" fillId="0" borderId="0" xfId="0" applyBorder="1" applyAlignment="1">
      <alignment horizontal="left"/>
    </xf>
    <xf numFmtId="0" fontId="5" fillId="0" borderId="8" xfId="0" applyFont="1" applyBorder="1" applyAlignment="1" applyProtection="1">
      <alignment horizontal="center" vertical="center" wrapText="1"/>
      <protection locked="0"/>
    </xf>
    <xf numFmtId="0" fontId="42" fillId="7" borderId="0" xfId="0" applyFont="1" applyFill="1" applyProtection="1">
      <protection hidden="1"/>
    </xf>
    <xf numFmtId="0" fontId="42" fillId="7" borderId="0" xfId="0" applyFont="1" applyFill="1" applyAlignment="1" applyProtection="1">
      <alignment vertical="center"/>
      <protection hidden="1"/>
    </xf>
    <xf numFmtId="165" fontId="19" fillId="0" borderId="0" xfId="0" applyNumberFormat="1" applyFont="1" applyAlignment="1">
      <alignment horizontal="center"/>
    </xf>
    <xf numFmtId="0" fontId="43" fillId="0" borderId="0" xfId="0" applyNumberFormat="1" applyFont="1" applyFill="1" applyBorder="1" applyAlignment="1" applyProtection="1">
      <alignment horizontal="right"/>
    </xf>
    <xf numFmtId="44" fontId="26" fillId="0" borderId="0" xfId="2" applyFont="1" applyBorder="1" applyProtection="1"/>
    <xf numFmtId="44" fontId="26" fillId="0" borderId="0" xfId="2" applyFont="1" applyBorder="1"/>
    <xf numFmtId="44" fontId="44" fillId="0" borderId="15" xfId="2" applyNumberFormat="1" applyFont="1" applyFill="1" applyBorder="1"/>
    <xf numFmtId="44" fontId="44" fillId="0" borderId="15" xfId="1" applyNumberFormat="1" applyFont="1" applyFill="1" applyBorder="1"/>
    <xf numFmtId="44" fontId="5" fillId="0" borderId="0" xfId="2" applyFont="1" applyBorder="1" applyProtection="1"/>
    <xf numFmtId="44" fontId="5" fillId="0" borderId="15" xfId="2" applyNumberFormat="1" applyFont="1" applyFill="1" applyBorder="1"/>
    <xf numFmtId="43" fontId="26" fillId="0" borderId="0" xfId="1" applyFont="1" applyBorder="1" applyProtection="1"/>
    <xf numFmtId="44" fontId="26" fillId="0" borderId="0" xfId="2" applyFont="1" applyFill="1" applyBorder="1" applyProtection="1"/>
    <xf numFmtId="0" fontId="19" fillId="0" borderId="0" xfId="0" applyNumberFormat="1" applyFont="1" applyFill="1" applyBorder="1" applyAlignment="1" applyProtection="1">
      <alignment horizontal="center"/>
      <protection hidden="1"/>
    </xf>
    <xf numFmtId="0" fontId="17" fillId="0" borderId="0" xfId="0" applyNumberFormat="1" applyFont="1" applyFill="1" applyBorder="1" applyAlignment="1" applyProtection="1">
      <alignment horizontal="center"/>
      <protection hidden="1"/>
    </xf>
    <xf numFmtId="0" fontId="17" fillId="0" borderId="0" xfId="0" applyNumberFormat="1" applyFont="1" applyFill="1" applyBorder="1" applyAlignment="1" applyProtection="1">
      <alignment horizontal="left"/>
    </xf>
    <xf numFmtId="0" fontId="4" fillId="0" borderId="26" xfId="0" applyNumberFormat="1" applyFont="1" applyFill="1" applyBorder="1" applyAlignment="1" applyProtection="1">
      <alignment horizontal="right"/>
    </xf>
    <xf numFmtId="0" fontId="4" fillId="0" borderId="25" xfId="0" applyNumberFormat="1" applyFont="1" applyFill="1" applyBorder="1" applyAlignment="1" applyProtection="1"/>
    <xf numFmtId="0" fontId="17" fillId="0" borderId="25" xfId="0" applyNumberFormat="1" applyFont="1" applyFill="1" applyBorder="1" applyAlignment="1" applyProtection="1">
      <alignment horizontal="left"/>
    </xf>
    <xf numFmtId="0" fontId="5" fillId="0" borderId="25" xfId="0" applyNumberFormat="1" applyFont="1" applyFill="1" applyBorder="1" applyAlignment="1" applyProtection="1">
      <alignment horizontal="left"/>
    </xf>
    <xf numFmtId="44" fontId="4" fillId="0" borderId="26" xfId="2" applyFont="1" applyFill="1" applyBorder="1" applyAlignment="1" applyProtection="1">
      <alignment horizontal="right"/>
      <protection locked="0"/>
    </xf>
    <xf numFmtId="0" fontId="1" fillId="0" borderId="25" xfId="0" applyNumberFormat="1" applyFont="1" applyFill="1" applyBorder="1" applyAlignment="1" applyProtection="1">
      <alignment horizontal="right"/>
    </xf>
    <xf numFmtId="43" fontId="4" fillId="0" borderId="25" xfId="1" applyFont="1" applyBorder="1" applyAlignment="1" applyProtection="1">
      <alignment horizontal="right"/>
      <protection locked="0"/>
    </xf>
    <xf numFmtId="0" fontId="5" fillId="0" borderId="37" xfId="0" applyNumberFormat="1" applyFont="1" applyFill="1" applyBorder="1" applyAlignment="1" applyProtection="1">
      <alignment horizontal="right"/>
    </xf>
    <xf numFmtId="0" fontId="0" fillId="0" borderId="25" xfId="0" applyNumberFormat="1" applyFont="1" applyFill="1" applyBorder="1" applyAlignment="1" applyProtection="1">
      <alignment horizontal="right" wrapText="1"/>
    </xf>
    <xf numFmtId="5" fontId="1" fillId="0" borderId="25" xfId="0" applyNumberFormat="1" applyFont="1" applyFill="1" applyBorder="1" applyAlignment="1" applyProtection="1">
      <alignment horizontal="right" wrapText="1"/>
    </xf>
    <xf numFmtId="0" fontId="4" fillId="0" borderId="25" xfId="0" applyNumberFormat="1" applyFont="1" applyFill="1" applyBorder="1" applyAlignment="1" applyProtection="1">
      <alignment horizontal="right" wrapText="1"/>
    </xf>
    <xf numFmtId="5" fontId="0" fillId="0" borderId="25" xfId="0" applyNumberFormat="1" applyFont="1" applyFill="1" applyBorder="1" applyAlignment="1" applyProtection="1">
      <alignment horizontal="right" wrapText="1"/>
    </xf>
    <xf numFmtId="0" fontId="1" fillId="0" borderId="25" xfId="0" applyNumberFormat="1" applyFont="1" applyFill="1" applyBorder="1" applyAlignment="1" applyProtection="1">
      <alignment horizontal="right" wrapText="1"/>
    </xf>
    <xf numFmtId="5" fontId="5" fillId="0" borderId="37" xfId="0" applyNumberFormat="1" applyFont="1" applyFill="1" applyBorder="1" applyAlignment="1" applyProtection="1">
      <alignment horizontal="right"/>
    </xf>
    <xf numFmtId="5" fontId="5" fillId="0" borderId="25" xfId="0" applyNumberFormat="1" applyFont="1" applyFill="1" applyBorder="1" applyAlignment="1" applyProtection="1">
      <alignment horizontal="right"/>
    </xf>
    <xf numFmtId="164" fontId="7" fillId="0" borderId="39" xfId="0" applyNumberFormat="1" applyFont="1" applyBorder="1" applyAlignment="1">
      <alignment horizontal="left"/>
    </xf>
    <xf numFmtId="0" fontId="5" fillId="0" borderId="25" xfId="0" applyNumberFormat="1" applyFont="1" applyFill="1" applyBorder="1" applyAlignment="1" applyProtection="1"/>
    <xf numFmtId="0" fontId="1" fillId="0" borderId="25" xfId="0" applyNumberFormat="1" applyFont="1" applyFill="1" applyBorder="1" applyAlignment="1" applyProtection="1">
      <alignment horizontal="right"/>
      <protection locked="0"/>
    </xf>
    <xf numFmtId="0" fontId="1" fillId="0" borderId="25" xfId="0" quotePrefix="1" applyNumberFormat="1" applyFont="1" applyFill="1" applyBorder="1" applyAlignment="1" applyProtection="1">
      <alignment horizontal="right"/>
    </xf>
    <xf numFmtId="0" fontId="1" fillId="0" borderId="25" xfId="0" applyFont="1" applyBorder="1" applyAlignment="1">
      <alignment horizontal="right"/>
    </xf>
    <xf numFmtId="0" fontId="37" fillId="0" borderId="37" xfId="0" applyNumberFormat="1" applyFont="1" applyFill="1" applyBorder="1" applyAlignment="1" applyProtection="1"/>
    <xf numFmtId="0" fontId="4" fillId="0" borderId="25" xfId="0" applyNumberFormat="1" applyFont="1" applyFill="1" applyBorder="1" applyAlignment="1" applyProtection="1">
      <alignment horizontal="right"/>
      <protection locked="0"/>
    </xf>
    <xf numFmtId="0" fontId="16" fillId="0" borderId="25" xfId="0" applyNumberFormat="1" applyFont="1" applyFill="1" applyBorder="1" applyAlignment="1" applyProtection="1">
      <alignment horizontal="right" wrapText="1"/>
    </xf>
    <xf numFmtId="164" fontId="7" fillId="0" borderId="37" xfId="0" applyNumberFormat="1" applyFont="1" applyBorder="1" applyAlignment="1">
      <alignment horizontal="left"/>
    </xf>
    <xf numFmtId="164" fontId="7" fillId="0" borderId="29" xfId="0" applyNumberFormat="1" applyFont="1" applyBorder="1" applyAlignment="1">
      <alignment horizontal="left"/>
    </xf>
    <xf numFmtId="164" fontId="7" fillId="0" borderId="18" xfId="0" applyNumberFormat="1" applyFont="1" applyBorder="1" applyAlignment="1">
      <alignment horizontal="left"/>
    </xf>
    <xf numFmtId="0" fontId="17" fillId="0" borderId="31" xfId="0" applyNumberFormat="1" applyFont="1" applyFill="1" applyBorder="1" applyAlignment="1" applyProtection="1">
      <alignment horizontal="left"/>
    </xf>
    <xf numFmtId="0" fontId="17" fillId="0" borderId="32" xfId="0" applyNumberFormat="1" applyFont="1" applyFill="1" applyBorder="1" applyAlignment="1" applyProtection="1">
      <alignment horizontal="left"/>
    </xf>
    <xf numFmtId="0" fontId="1" fillId="0" borderId="33" xfId="0" applyNumberFormat="1" applyFont="1" applyFill="1" applyBorder="1" applyAlignment="1" applyProtection="1">
      <alignment horizontal="center"/>
    </xf>
    <xf numFmtId="0" fontId="4" fillId="0" borderId="18" xfId="0" applyNumberFormat="1" applyFont="1" applyFill="1" applyBorder="1" applyAlignment="1" applyProtection="1"/>
    <xf numFmtId="166" fontId="4" fillId="0" borderId="18" xfId="2" applyNumberFormat="1" applyFont="1" applyBorder="1" applyProtection="1">
      <protection hidden="1"/>
    </xf>
    <xf numFmtId="0" fontId="4" fillId="0" borderId="18" xfId="0" applyNumberFormat="1" applyFont="1" applyFill="1" applyBorder="1" applyAlignment="1" applyProtection="1">
      <alignment horizontal="right"/>
    </xf>
    <xf numFmtId="0" fontId="3" fillId="0" borderId="18" xfId="0" applyNumberFormat="1" applyFont="1" applyFill="1" applyBorder="1" applyAlignment="1" applyProtection="1">
      <alignment horizontal="right" vertical="top"/>
    </xf>
    <xf numFmtId="164" fontId="10" fillId="0" borderId="18" xfId="0" applyNumberFormat="1" applyFont="1" applyBorder="1" applyAlignment="1">
      <alignment horizontal="right"/>
    </xf>
    <xf numFmtId="0" fontId="17" fillId="0" borderId="0" xfId="0" applyNumberFormat="1" applyFont="1" applyFill="1" applyBorder="1" applyAlignment="1" applyProtection="1">
      <alignment horizontal="left"/>
    </xf>
    <xf numFmtId="0" fontId="3" fillId="0" borderId="18" xfId="0" applyNumberFormat="1" applyFont="1" applyFill="1" applyBorder="1" applyAlignment="1" applyProtection="1">
      <alignment horizontal="center" vertical="top"/>
    </xf>
    <xf numFmtId="166" fontId="5" fillId="0" borderId="0" xfId="2" applyNumberFormat="1" applyFont="1" applyAlignment="1" applyProtection="1">
      <alignment vertical="center"/>
      <protection hidden="1"/>
    </xf>
    <xf numFmtId="166" fontId="47" fillId="8" borderId="42" xfId="2" applyNumberFormat="1" applyFont="1" applyFill="1" applyBorder="1" applyAlignment="1" applyProtection="1">
      <alignment vertical="center"/>
      <protection hidden="1"/>
    </xf>
    <xf numFmtId="166" fontId="47" fillId="9" borderId="41" xfId="2" applyNumberFormat="1" applyFont="1" applyFill="1" applyBorder="1" applyAlignment="1" applyProtection="1">
      <alignment vertical="center"/>
      <protection hidden="1"/>
    </xf>
    <xf numFmtId="166" fontId="47" fillId="8" borderId="41" xfId="2" applyNumberFormat="1" applyFont="1" applyFill="1" applyBorder="1" applyAlignment="1" applyProtection="1">
      <alignment vertical="center"/>
      <protection hidden="1"/>
    </xf>
    <xf numFmtId="166" fontId="4" fillId="2" borderId="0" xfId="0" applyNumberFormat="1" applyFont="1" applyFill="1" applyBorder="1" applyProtection="1">
      <protection hidden="1"/>
    </xf>
    <xf numFmtId="166" fontId="4" fillId="2" borderId="10" xfId="0" applyNumberFormat="1" applyFont="1" applyFill="1" applyBorder="1" applyProtection="1">
      <protection hidden="1"/>
    </xf>
    <xf numFmtId="166" fontId="19" fillId="0" borderId="1" xfId="0" applyNumberFormat="1" applyFont="1" applyBorder="1" applyProtection="1">
      <protection hidden="1"/>
    </xf>
    <xf numFmtId="166" fontId="19" fillId="0" borderId="12" xfId="0" applyNumberFormat="1" applyFont="1" applyBorder="1" applyProtection="1">
      <protection hidden="1"/>
    </xf>
    <xf numFmtId="166" fontId="4" fillId="0" borderId="10" xfId="0" applyNumberFormat="1" applyFont="1" applyBorder="1" applyProtection="1">
      <protection hidden="1"/>
    </xf>
    <xf numFmtId="166" fontId="4" fillId="0" borderId="2" xfId="0" applyNumberFormat="1" applyFont="1" applyBorder="1" applyProtection="1">
      <protection hidden="1"/>
    </xf>
    <xf numFmtId="166" fontId="4" fillId="0" borderId="13" xfId="0" applyNumberFormat="1" applyFont="1" applyBorder="1" applyProtection="1">
      <protection hidden="1"/>
    </xf>
    <xf numFmtId="166" fontId="4" fillId="0" borderId="2" xfId="1" applyNumberFormat="1" applyFont="1" applyBorder="1" applyProtection="1">
      <protection hidden="1"/>
    </xf>
    <xf numFmtId="166" fontId="4" fillId="0" borderId="13" xfId="1" applyNumberFormat="1" applyFont="1" applyBorder="1" applyProtection="1">
      <protection hidden="1"/>
    </xf>
    <xf numFmtId="0" fontId="1" fillId="0" borderId="0" xfId="1" applyNumberFormat="1" applyFont="1" applyBorder="1" applyAlignment="1" applyProtection="1">
      <alignment horizontal="center" vertical="center"/>
      <protection hidden="1"/>
    </xf>
    <xf numFmtId="0" fontId="1" fillId="0" borderId="10" xfId="1" applyNumberFormat="1" applyFont="1" applyBorder="1" applyAlignment="1" applyProtection="1">
      <alignment horizontal="center" vertical="center"/>
      <protection hidden="1"/>
    </xf>
    <xf numFmtId="166" fontId="4" fillId="0" borderId="10" xfId="2" applyNumberFormat="1" applyFont="1" applyBorder="1" applyProtection="1">
      <protection hidden="1"/>
    </xf>
    <xf numFmtId="166" fontId="4" fillId="0" borderId="10" xfId="1" applyNumberFormat="1" applyFont="1" applyBorder="1" applyProtection="1">
      <protection hidden="1"/>
    </xf>
    <xf numFmtId="43" fontId="4" fillId="0" borderId="0" xfId="1" applyFont="1" applyBorder="1" applyProtection="1">
      <protection hidden="1"/>
    </xf>
    <xf numFmtId="164" fontId="8" fillId="0" borderId="10" xfId="0" applyNumberFormat="1" applyFont="1" applyBorder="1" applyProtection="1">
      <protection hidden="1"/>
    </xf>
    <xf numFmtId="166" fontId="9" fillId="0" borderId="34" xfId="2" applyNumberFormat="1" applyFont="1" applyBorder="1" applyProtection="1">
      <protection hidden="1"/>
    </xf>
    <xf numFmtId="0" fontId="50" fillId="8" borderId="16" xfId="0" applyNumberFormat="1" applyFont="1" applyFill="1" applyBorder="1" applyAlignment="1" applyProtection="1">
      <alignment horizontal="right"/>
      <protection locked="0"/>
    </xf>
    <xf numFmtId="43" fontId="50" fillId="8" borderId="42" xfId="1" applyNumberFormat="1" applyFont="1" applyFill="1" applyBorder="1" applyProtection="1">
      <protection locked="0"/>
    </xf>
    <xf numFmtId="0" fontId="47" fillId="9" borderId="43" xfId="0" applyNumberFormat="1" applyFont="1" applyFill="1" applyBorder="1" applyAlignment="1" applyProtection="1">
      <alignment horizontal="right"/>
      <protection locked="0"/>
    </xf>
    <xf numFmtId="43" fontId="47" fillId="9" borderId="41" xfId="1" applyNumberFormat="1" applyFont="1" applyFill="1" applyBorder="1" applyProtection="1">
      <protection locked="0"/>
    </xf>
    <xf numFmtId="0" fontId="47" fillId="8" borderId="43" xfId="0" applyNumberFormat="1" applyFont="1" applyFill="1" applyBorder="1" applyAlignment="1" applyProtection="1">
      <alignment horizontal="right"/>
      <protection locked="0"/>
    </xf>
    <xf numFmtId="43" fontId="47" fillId="8" borderId="41" xfId="1" applyNumberFormat="1" applyFont="1" applyFill="1" applyBorder="1" applyProtection="1">
      <protection locked="0"/>
    </xf>
    <xf numFmtId="44" fontId="50" fillId="8" borderId="42" xfId="1" applyNumberFormat="1" applyFont="1" applyFill="1" applyBorder="1" applyProtection="1">
      <protection locked="0"/>
    </xf>
    <xf numFmtId="44" fontId="50" fillId="9" borderId="41" xfId="1" applyNumberFormat="1" applyFont="1" applyFill="1" applyBorder="1" applyProtection="1">
      <protection locked="0"/>
    </xf>
    <xf numFmtId="44" fontId="50" fillId="8" borderId="41" xfId="1" applyNumberFormat="1" applyFont="1" applyFill="1" applyBorder="1" applyProtection="1">
      <protection locked="0"/>
    </xf>
    <xf numFmtId="0" fontId="46" fillId="8" borderId="16" xfId="0" applyNumberFormat="1" applyFont="1" applyFill="1" applyBorder="1" applyAlignment="1" applyProtection="1">
      <alignment horizontal="right"/>
      <protection locked="0"/>
    </xf>
    <xf numFmtId="44" fontId="46" fillId="8" borderId="42" xfId="1" applyNumberFormat="1" applyFont="1" applyFill="1" applyBorder="1" applyProtection="1">
      <protection locked="0"/>
    </xf>
    <xf numFmtId="0" fontId="46" fillId="9" borderId="43" xfId="0" applyNumberFormat="1" applyFont="1" applyFill="1" applyBorder="1" applyAlignment="1" applyProtection="1">
      <alignment horizontal="right"/>
      <protection locked="0"/>
    </xf>
    <xf numFmtId="44" fontId="46" fillId="9" borderId="41" xfId="1" applyNumberFormat="1" applyFont="1" applyFill="1" applyBorder="1" applyProtection="1">
      <protection locked="0"/>
    </xf>
    <xf numFmtId="0" fontId="46" fillId="8" borderId="43" xfId="0" applyNumberFormat="1" applyFont="1" applyFill="1" applyBorder="1" applyAlignment="1" applyProtection="1">
      <alignment horizontal="right"/>
      <protection locked="0"/>
    </xf>
    <xf numFmtId="44" fontId="46" fillId="8" borderId="41" xfId="1" applyNumberFormat="1" applyFont="1" applyFill="1" applyBorder="1" applyProtection="1">
      <protection locked="0"/>
    </xf>
    <xf numFmtId="44" fontId="47" fillId="9" borderId="41" xfId="1" applyNumberFormat="1" applyFont="1" applyFill="1" applyBorder="1" applyProtection="1">
      <protection locked="0"/>
    </xf>
    <xf numFmtId="44" fontId="47" fillId="8" borderId="41" xfId="1" applyNumberFormat="1" applyFont="1" applyFill="1" applyBorder="1" applyProtection="1">
      <protection locked="0"/>
    </xf>
    <xf numFmtId="43" fontId="50" fillId="9" borderId="41" xfId="1" applyNumberFormat="1" applyFont="1" applyFill="1" applyBorder="1" applyProtection="1">
      <protection locked="0"/>
    </xf>
    <xf numFmtId="43" fontId="50" fillId="8" borderId="41" xfId="1" applyNumberFormat="1" applyFont="1" applyFill="1" applyBorder="1" applyProtection="1">
      <protection locked="0"/>
    </xf>
    <xf numFmtId="44" fontId="50" fillId="8" borderId="42" xfId="2" applyNumberFormat="1" applyFont="1" applyFill="1" applyBorder="1" applyProtection="1">
      <protection locked="0"/>
    </xf>
    <xf numFmtId="44" fontId="47" fillId="9" borderId="41" xfId="2" applyNumberFormat="1" applyFont="1" applyFill="1" applyBorder="1" applyProtection="1">
      <protection locked="0"/>
    </xf>
    <xf numFmtId="44" fontId="47" fillId="8" borderId="41" xfId="2" applyNumberFormat="1" applyFont="1" applyFill="1" applyBorder="1" applyProtection="1">
      <protection locked="0"/>
    </xf>
    <xf numFmtId="0" fontId="47" fillId="8" borderId="16" xfId="0" applyNumberFormat="1" applyFont="1" applyFill="1" applyBorder="1" applyAlignment="1" applyProtection="1">
      <alignment vertical="center"/>
      <protection locked="0"/>
    </xf>
    <xf numFmtId="0" fontId="47" fillId="8" borderId="42" xfId="0" applyNumberFormat="1" applyFont="1" applyFill="1" applyBorder="1" applyAlignment="1" applyProtection="1">
      <alignment vertical="center"/>
      <protection locked="0"/>
    </xf>
    <xf numFmtId="166" fontId="47" fillId="8" borderId="42" xfId="2" applyNumberFormat="1" applyFont="1" applyFill="1" applyBorder="1" applyAlignment="1" applyProtection="1">
      <alignment vertical="center"/>
      <protection locked="0"/>
    </xf>
    <xf numFmtId="0" fontId="47" fillId="8" borderId="42" xfId="2" applyNumberFormat="1" applyFont="1" applyFill="1" applyBorder="1" applyAlignment="1" applyProtection="1">
      <alignment horizontal="center" vertical="center"/>
      <protection locked="0"/>
    </xf>
    <xf numFmtId="0" fontId="47" fillId="9" borderId="43" xfId="0" applyNumberFormat="1" applyFont="1" applyFill="1" applyBorder="1" applyAlignment="1" applyProtection="1">
      <alignment vertical="center"/>
      <protection locked="0"/>
    </xf>
    <xf numFmtId="0" fontId="47" fillId="9" borderId="41" xfId="0" applyNumberFormat="1" applyFont="1" applyFill="1" applyBorder="1" applyAlignment="1" applyProtection="1">
      <alignment vertical="center"/>
      <protection locked="0"/>
    </xf>
    <xf numFmtId="166" fontId="47" fillId="9" borderId="41" xfId="2" applyNumberFormat="1" applyFont="1" applyFill="1" applyBorder="1" applyAlignment="1" applyProtection="1">
      <alignment vertical="center"/>
      <protection locked="0"/>
    </xf>
    <xf numFmtId="0" fontId="47" fillId="9" borderId="41" xfId="2" applyNumberFormat="1" applyFont="1" applyFill="1" applyBorder="1" applyAlignment="1" applyProtection="1">
      <alignment horizontal="center" vertical="center"/>
      <protection locked="0"/>
    </xf>
    <xf numFmtId="0" fontId="47" fillId="8" borderId="43" xfId="0" applyNumberFormat="1" applyFont="1" applyFill="1" applyBorder="1" applyAlignment="1" applyProtection="1">
      <alignment vertical="center"/>
      <protection locked="0"/>
    </xf>
    <xf numFmtId="0" fontId="47" fillId="8" borderId="41" xfId="0" applyNumberFormat="1" applyFont="1" applyFill="1" applyBorder="1" applyAlignment="1" applyProtection="1">
      <alignment vertical="center"/>
      <protection locked="0"/>
    </xf>
    <xf numFmtId="166" fontId="47" fillId="8" borderId="41" xfId="2" applyNumberFormat="1" applyFont="1" applyFill="1" applyBorder="1" applyAlignment="1" applyProtection="1">
      <alignment vertical="center"/>
      <protection locked="0"/>
    </xf>
    <xf numFmtId="0" fontId="47" fillId="8" borderId="41" xfId="2" applyNumberFormat="1" applyFont="1" applyFill="1" applyBorder="1" applyAlignment="1" applyProtection="1">
      <alignment horizontal="center" vertical="center"/>
      <protection locked="0"/>
    </xf>
    <xf numFmtId="0" fontId="46" fillId="8" borderId="16" xfId="0" applyFont="1" applyFill="1" applyBorder="1" applyAlignment="1" applyProtection="1">
      <alignment vertical="center"/>
      <protection locked="0"/>
    </xf>
    <xf numFmtId="0" fontId="46" fillId="8" borderId="42" xfId="0" applyFont="1" applyFill="1" applyBorder="1" applyAlignment="1" applyProtection="1">
      <alignment vertical="center"/>
      <protection locked="0"/>
    </xf>
    <xf numFmtId="166" fontId="46" fillId="8" borderId="42" xfId="2" applyNumberFormat="1" applyFont="1" applyFill="1" applyBorder="1" applyAlignment="1" applyProtection="1">
      <alignment vertical="center"/>
      <protection locked="0"/>
    </xf>
    <xf numFmtId="0" fontId="46" fillId="8" borderId="42" xfId="0" applyFont="1" applyFill="1" applyBorder="1" applyAlignment="1" applyProtection="1">
      <alignment horizontal="center" vertical="center"/>
      <protection locked="0"/>
    </xf>
    <xf numFmtId="0" fontId="46" fillId="9" borderId="43" xfId="0" applyFont="1" applyFill="1" applyBorder="1" applyAlignment="1" applyProtection="1">
      <alignment vertical="center"/>
      <protection locked="0"/>
    </xf>
    <xf numFmtId="0" fontId="46" fillId="9" borderId="41" xfId="0" applyFont="1" applyFill="1" applyBorder="1" applyAlignment="1" applyProtection="1">
      <alignment vertical="center"/>
      <protection locked="0"/>
    </xf>
    <xf numFmtId="166" fontId="46" fillId="9" borderId="41" xfId="2" applyNumberFormat="1" applyFont="1" applyFill="1" applyBorder="1" applyAlignment="1" applyProtection="1">
      <alignment vertical="center"/>
      <protection locked="0"/>
    </xf>
    <xf numFmtId="0" fontId="46" fillId="9" borderId="41" xfId="0" applyFont="1" applyFill="1" applyBorder="1" applyAlignment="1" applyProtection="1">
      <alignment horizontal="center" vertical="center"/>
      <protection locked="0"/>
    </xf>
    <xf numFmtId="0" fontId="46" fillId="8" borderId="43" xfId="0" applyFont="1" applyFill="1" applyBorder="1" applyAlignment="1" applyProtection="1">
      <alignment vertical="center"/>
      <protection locked="0"/>
    </xf>
    <xf numFmtId="0" fontId="46" fillId="8" borderId="41" xfId="0" applyFont="1" applyFill="1" applyBorder="1" applyAlignment="1" applyProtection="1">
      <alignment vertical="center"/>
      <protection locked="0"/>
    </xf>
    <xf numFmtId="166" fontId="46" fillId="8" borderId="41" xfId="2" applyNumberFormat="1" applyFont="1" applyFill="1" applyBorder="1" applyAlignment="1" applyProtection="1">
      <alignment vertical="center"/>
      <protection locked="0"/>
    </xf>
    <xf numFmtId="0" fontId="46" fillId="8" borderId="41" xfId="0" applyFont="1" applyFill="1" applyBorder="1" applyAlignment="1" applyProtection="1">
      <alignment horizontal="center" vertical="center"/>
      <protection locked="0"/>
    </xf>
    <xf numFmtId="166" fontId="5" fillId="0" borderId="0" xfId="0" applyNumberFormat="1" applyFont="1" applyFill="1" applyBorder="1" applyAlignment="1" applyProtection="1"/>
    <xf numFmtId="166" fontId="4" fillId="0" borderId="18" xfId="0" applyNumberFormat="1" applyFont="1" applyFill="1" applyBorder="1" applyAlignment="1" applyProtection="1"/>
    <xf numFmtId="0" fontId="50" fillId="8" borderId="16" xfId="0" applyNumberFormat="1" applyFont="1" applyFill="1" applyBorder="1" applyAlignment="1">
      <alignment horizontal="right"/>
    </xf>
    <xf numFmtId="0" fontId="47" fillId="9" borderId="43" xfId="0" applyNumberFormat="1" applyFont="1" applyFill="1" applyBorder="1" applyAlignment="1">
      <alignment horizontal="right"/>
    </xf>
    <xf numFmtId="1" fontId="4" fillId="0" borderId="26" xfId="2" applyNumberFormat="1" applyFont="1" applyBorder="1" applyAlignment="1" applyProtection="1">
      <alignment horizontal="right"/>
      <protection locked="0"/>
    </xf>
    <xf numFmtId="1" fontId="4" fillId="0" borderId="26" xfId="1" applyNumberFormat="1" applyFont="1" applyBorder="1" applyAlignment="1" applyProtection="1">
      <alignment horizontal="right"/>
      <protection locked="0"/>
    </xf>
    <xf numFmtId="1" fontId="4" fillId="0" borderId="38" xfId="1" applyNumberFormat="1" applyFont="1" applyBorder="1" applyAlignment="1" applyProtection="1">
      <alignment horizontal="right"/>
      <protection hidden="1"/>
    </xf>
    <xf numFmtId="1" fontId="4" fillId="0" borderId="0" xfId="0" applyNumberFormat="1" applyFont="1" applyBorder="1" applyAlignment="1" applyProtection="1">
      <alignment horizontal="right"/>
      <protection hidden="1"/>
    </xf>
    <xf numFmtId="1" fontId="4" fillId="0" borderId="0" xfId="0" applyNumberFormat="1" applyFont="1" applyFill="1" applyBorder="1" applyAlignment="1" applyProtection="1">
      <alignment horizontal="right"/>
      <protection hidden="1"/>
    </xf>
    <xf numFmtId="1" fontId="4" fillId="0" borderId="26" xfId="0" applyNumberFormat="1" applyFont="1" applyFill="1" applyBorder="1" applyAlignment="1" applyProtection="1">
      <alignment horizontal="right"/>
      <protection hidden="1"/>
    </xf>
    <xf numFmtId="1" fontId="4" fillId="0" borderId="26" xfId="1" applyNumberFormat="1" applyFont="1" applyFill="1" applyBorder="1" applyAlignment="1" applyProtection="1">
      <alignment horizontal="right"/>
      <protection locked="0"/>
    </xf>
    <xf numFmtId="1" fontId="4" fillId="0" borderId="26" xfId="0" applyNumberFormat="1" applyFont="1" applyBorder="1" applyAlignment="1" applyProtection="1">
      <alignment horizontal="right"/>
      <protection hidden="1"/>
    </xf>
    <xf numFmtId="1" fontId="5" fillId="0" borderId="40" xfId="0" applyNumberFormat="1" applyFont="1" applyFill="1" applyBorder="1" applyAlignment="1" applyProtection="1">
      <alignment horizontal="right"/>
      <protection hidden="1"/>
    </xf>
    <xf numFmtId="1" fontId="4" fillId="0" borderId="26" xfId="1" applyNumberFormat="1" applyFont="1" applyBorder="1" applyAlignment="1" applyProtection="1">
      <alignment horizontal="right"/>
      <protection hidden="1"/>
    </xf>
    <xf numFmtId="1" fontId="5" fillId="0" borderId="30" xfId="0" applyNumberFormat="1" applyFont="1" applyFill="1" applyBorder="1" applyAlignment="1" applyProtection="1">
      <alignment horizontal="right"/>
      <protection hidden="1"/>
    </xf>
    <xf numFmtId="1" fontId="4" fillId="0" borderId="18" xfId="0" applyNumberFormat="1" applyFont="1" applyBorder="1" applyAlignment="1" applyProtection="1">
      <alignment horizontal="right"/>
      <protection hidden="1"/>
    </xf>
    <xf numFmtId="1" fontId="4" fillId="0" borderId="26" xfId="0" applyNumberFormat="1" applyFont="1" applyFill="1" applyBorder="1" applyAlignment="1" applyProtection="1">
      <alignment horizontal="center"/>
      <protection hidden="1"/>
    </xf>
    <xf numFmtId="1" fontId="4" fillId="0" borderId="33" xfId="0" applyNumberFormat="1" applyFont="1" applyFill="1" applyBorder="1" applyAlignment="1" applyProtection="1">
      <alignment horizontal="center"/>
      <protection hidden="1"/>
    </xf>
    <xf numFmtId="1" fontId="5" fillId="0" borderId="38" xfId="0" applyNumberFormat="1" applyFont="1" applyFill="1" applyBorder="1" applyAlignment="1" applyProtection="1">
      <alignment horizontal="right"/>
      <protection hidden="1"/>
    </xf>
    <xf numFmtId="1" fontId="4" fillId="0" borderId="26" xfId="0" applyNumberFormat="1" applyFont="1" applyFill="1" applyBorder="1" applyAlignment="1" applyProtection="1">
      <alignment horizontal="right"/>
    </xf>
    <xf numFmtId="1" fontId="5" fillId="0" borderId="38" xfId="0" applyNumberFormat="1" applyFont="1" applyFill="1" applyBorder="1" applyAlignment="1" applyProtection="1">
      <alignment horizontal="right"/>
    </xf>
    <xf numFmtId="164" fontId="1" fillId="0" borderId="44" xfId="0" applyNumberFormat="1" applyFont="1" applyBorder="1" applyAlignment="1">
      <alignment horizontal="center"/>
    </xf>
    <xf numFmtId="164" fontId="4" fillId="0" borderId="45" xfId="0" applyNumberFormat="1" applyFont="1" applyBorder="1" applyAlignment="1">
      <alignment horizontal="right"/>
    </xf>
    <xf numFmtId="44" fontId="4" fillId="0" borderId="45" xfId="2" applyFont="1" applyBorder="1" applyAlignment="1" applyProtection="1">
      <alignment horizontal="right"/>
      <protection locked="0"/>
    </xf>
    <xf numFmtId="1" fontId="4" fillId="0" borderId="45" xfId="2" applyNumberFormat="1" applyFont="1" applyBorder="1" applyAlignment="1" applyProtection="1">
      <alignment horizontal="right"/>
      <protection locked="0"/>
    </xf>
    <xf numFmtId="1" fontId="4" fillId="0" borderId="45" xfId="1" applyNumberFormat="1" applyFont="1" applyBorder="1" applyAlignment="1" applyProtection="1">
      <alignment horizontal="right"/>
      <protection locked="0"/>
    </xf>
    <xf numFmtId="1" fontId="4" fillId="0" borderId="46" xfId="1" applyNumberFormat="1" applyFont="1" applyBorder="1" applyAlignment="1" applyProtection="1">
      <alignment horizontal="right"/>
      <protection hidden="1"/>
    </xf>
    <xf numFmtId="1" fontId="4" fillId="0" borderId="45" xfId="0" applyNumberFormat="1" applyFont="1" applyBorder="1" applyAlignment="1" applyProtection="1">
      <alignment horizontal="right"/>
      <protection hidden="1"/>
    </xf>
    <xf numFmtId="1" fontId="4" fillId="0" borderId="45" xfId="1" applyNumberFormat="1" applyFont="1" applyFill="1" applyBorder="1" applyAlignment="1" applyProtection="1">
      <alignment horizontal="right"/>
      <protection locked="0"/>
    </xf>
    <xf numFmtId="1" fontId="5" fillId="0" borderId="47" xfId="0" applyNumberFormat="1" applyFont="1" applyFill="1" applyBorder="1" applyAlignment="1" applyProtection="1">
      <alignment horizontal="right"/>
      <protection hidden="1"/>
    </xf>
    <xf numFmtId="1" fontId="4" fillId="0" borderId="45" xfId="1" applyNumberFormat="1" applyFont="1" applyBorder="1" applyAlignment="1" applyProtection="1">
      <alignment horizontal="right"/>
      <protection hidden="1"/>
    </xf>
    <xf numFmtId="1" fontId="5" fillId="0" borderId="48" xfId="0" applyNumberFormat="1" applyFont="1" applyFill="1" applyBorder="1" applyAlignment="1" applyProtection="1">
      <alignment horizontal="right"/>
      <protection hidden="1"/>
    </xf>
    <xf numFmtId="0" fontId="0" fillId="0" borderId="49" xfId="0" applyBorder="1" applyAlignment="1" applyProtection="1">
      <alignment horizontal="center"/>
      <protection locked="0"/>
    </xf>
    <xf numFmtId="0" fontId="0" fillId="0" borderId="10" xfId="0" applyBorder="1" applyAlignment="1" applyProtection="1">
      <alignment horizontal="right"/>
      <protection locked="0"/>
    </xf>
    <xf numFmtId="44" fontId="4" fillId="0" borderId="10" xfId="2" applyFont="1" applyBorder="1" applyAlignment="1" applyProtection="1">
      <alignment horizontal="right"/>
      <protection locked="0"/>
    </xf>
    <xf numFmtId="1" fontId="4" fillId="0" borderId="10" xfId="2" applyNumberFormat="1" applyFont="1" applyBorder="1" applyAlignment="1" applyProtection="1">
      <alignment horizontal="right"/>
      <protection locked="0"/>
    </xf>
    <xf numFmtId="1" fontId="4" fillId="0" borderId="10" xfId="1" applyNumberFormat="1" applyFont="1" applyBorder="1" applyAlignment="1" applyProtection="1">
      <alignment horizontal="right"/>
      <protection locked="0"/>
    </xf>
    <xf numFmtId="1" fontId="4" fillId="0" borderId="13" xfId="1" applyNumberFormat="1" applyFont="1" applyBorder="1" applyAlignment="1" applyProtection="1">
      <alignment horizontal="right"/>
      <protection hidden="1"/>
    </xf>
    <xf numFmtId="1" fontId="4" fillId="0" borderId="10" xfId="0" applyNumberFormat="1" applyFont="1" applyBorder="1" applyAlignment="1" applyProtection="1">
      <alignment horizontal="right"/>
      <protection hidden="1"/>
    </xf>
    <xf numFmtId="1" fontId="4" fillId="0" borderId="10" xfId="1" applyNumberFormat="1" applyFont="1" applyFill="1" applyBorder="1" applyAlignment="1" applyProtection="1">
      <alignment horizontal="right"/>
      <protection locked="0"/>
    </xf>
    <xf numFmtId="1" fontId="5" fillId="0" borderId="36" xfId="0" applyNumberFormat="1" applyFont="1" applyFill="1" applyBorder="1" applyAlignment="1" applyProtection="1">
      <alignment horizontal="right"/>
      <protection hidden="1"/>
    </xf>
    <xf numFmtId="1" fontId="4" fillId="0" borderId="10" xfId="1" applyNumberFormat="1" applyFont="1" applyBorder="1" applyAlignment="1" applyProtection="1">
      <alignment horizontal="right"/>
      <protection hidden="1"/>
    </xf>
    <xf numFmtId="1" fontId="5" fillId="0" borderId="19" xfId="0" applyNumberFormat="1" applyFont="1" applyFill="1" applyBorder="1" applyAlignment="1" applyProtection="1">
      <alignment horizontal="right"/>
      <protection hidden="1"/>
    </xf>
    <xf numFmtId="0" fontId="1" fillId="0" borderId="49" xfId="0" applyNumberFormat="1" applyFont="1" applyFill="1" applyBorder="1" applyAlignment="1" applyProtection="1">
      <alignment horizontal="center"/>
    </xf>
    <xf numFmtId="0" fontId="4" fillId="0" borderId="10" xfId="0" applyNumberFormat="1" applyFont="1" applyFill="1" applyBorder="1" applyAlignment="1" applyProtection="1">
      <alignment horizontal="right"/>
    </xf>
    <xf numFmtId="44" fontId="4" fillId="0" borderId="10" xfId="2" applyFont="1" applyFill="1" applyBorder="1" applyAlignment="1" applyProtection="1">
      <alignment horizontal="right"/>
      <protection locked="0"/>
    </xf>
    <xf numFmtId="1" fontId="4" fillId="0" borderId="10" xfId="0" applyNumberFormat="1" applyFont="1" applyFill="1" applyBorder="1" applyAlignment="1" applyProtection="1">
      <alignment horizontal="right"/>
      <protection hidden="1"/>
    </xf>
    <xf numFmtId="166" fontId="1" fillId="0" borderId="10" xfId="2" applyNumberFormat="1" applyFont="1" applyFill="1" applyBorder="1" applyAlignment="1" applyProtection="1">
      <alignment horizontal="right"/>
      <protection locked="0"/>
    </xf>
    <xf numFmtId="166" fontId="4" fillId="0" borderId="10" xfId="2" applyNumberFormat="1" applyFont="1" applyBorder="1" applyAlignment="1" applyProtection="1">
      <alignment horizontal="right"/>
      <protection locked="0"/>
    </xf>
    <xf numFmtId="166" fontId="5" fillId="0" borderId="13" xfId="1" applyNumberFormat="1" applyFont="1" applyBorder="1" applyProtection="1">
      <protection hidden="1"/>
    </xf>
    <xf numFmtId="166" fontId="4" fillId="0" borderId="10" xfId="0" applyNumberFormat="1" applyFont="1" applyFill="1" applyBorder="1" applyAlignment="1" applyProtection="1"/>
    <xf numFmtId="166" fontId="5" fillId="0" borderId="10" xfId="0" applyNumberFormat="1" applyFont="1" applyFill="1" applyBorder="1" applyAlignment="1" applyProtection="1">
      <alignment horizontal="left"/>
    </xf>
    <xf numFmtId="166" fontId="4" fillId="0" borderId="10" xfId="2" applyNumberFormat="1" applyFont="1" applyFill="1" applyBorder="1" applyAlignment="1" applyProtection="1">
      <alignment horizontal="right" wrapText="1"/>
      <protection locked="0"/>
    </xf>
    <xf numFmtId="166" fontId="4" fillId="0" borderId="13" xfId="2" applyNumberFormat="1" applyFont="1" applyBorder="1" applyProtection="1">
      <protection hidden="1"/>
    </xf>
    <xf numFmtId="166" fontId="5" fillId="0" borderId="10" xfId="0" applyNumberFormat="1" applyFont="1" applyFill="1" applyBorder="1" applyAlignment="1" applyProtection="1"/>
    <xf numFmtId="166" fontId="1" fillId="0" borderId="10" xfId="2" applyNumberFormat="1" applyFont="1" applyBorder="1" applyAlignment="1" applyProtection="1">
      <alignment horizontal="right"/>
      <protection locked="0"/>
    </xf>
    <xf numFmtId="166" fontId="5" fillId="0" borderId="10" xfId="0" applyNumberFormat="1" applyFont="1" applyFill="1" applyBorder="1" applyAlignment="1" applyProtection="1">
      <alignment horizontal="right"/>
    </xf>
    <xf numFmtId="166" fontId="17" fillId="0" borderId="49" xfId="0" applyNumberFormat="1" applyFont="1" applyFill="1" applyBorder="1" applyAlignment="1" applyProtection="1">
      <alignment horizontal="left"/>
    </xf>
    <xf numFmtId="166" fontId="5" fillId="0" borderId="13" xfId="0" applyNumberFormat="1" applyFont="1" applyFill="1" applyBorder="1" applyAlignment="1" applyProtection="1">
      <alignment horizontal="right"/>
    </xf>
    <xf numFmtId="166" fontId="7" fillId="0" borderId="36" xfId="2" applyNumberFormat="1" applyFont="1" applyBorder="1" applyAlignment="1">
      <alignment horizontal="right"/>
    </xf>
    <xf numFmtId="166" fontId="7" fillId="0" borderId="19" xfId="0" applyNumberFormat="1" applyFont="1" applyBorder="1" applyAlignment="1">
      <alignment horizontal="left"/>
    </xf>
    <xf numFmtId="1" fontId="4" fillId="0" borderId="44" xfId="0" applyNumberFormat="1" applyFont="1" applyBorder="1" applyAlignment="1" applyProtection="1">
      <alignment horizontal="center"/>
      <protection hidden="1"/>
    </xf>
    <xf numFmtId="1" fontId="4" fillId="0" borderId="49" xfId="0" applyNumberFormat="1" applyFont="1" applyFill="1" applyBorder="1" applyAlignment="1" applyProtection="1">
      <alignment horizontal="center"/>
      <protection hidden="1"/>
    </xf>
    <xf numFmtId="166" fontId="4" fillId="0" borderId="10" xfId="2" applyNumberFormat="1" applyFont="1" applyFill="1" applyBorder="1" applyAlignment="1" applyProtection="1">
      <alignment horizontal="right"/>
      <protection locked="0"/>
    </xf>
    <xf numFmtId="166" fontId="5" fillId="0" borderId="13" xfId="2" applyNumberFormat="1" applyFont="1" applyFill="1" applyBorder="1" applyAlignment="1" applyProtection="1">
      <alignment horizontal="right"/>
    </xf>
    <xf numFmtId="166" fontId="16" fillId="0" borderId="10" xfId="2" applyNumberFormat="1" applyFont="1" applyFill="1" applyBorder="1" applyAlignment="1" applyProtection="1">
      <alignment horizontal="right" wrapText="1"/>
      <protection locked="0"/>
    </xf>
    <xf numFmtId="166" fontId="4" fillId="0" borderId="10" xfId="2" applyNumberFormat="1" applyFont="1" applyFill="1" applyBorder="1" applyAlignment="1" applyProtection="1"/>
    <xf numFmtId="166" fontId="5" fillId="0" borderId="10" xfId="2" applyNumberFormat="1" applyFont="1" applyFill="1" applyBorder="1" applyAlignment="1" applyProtection="1">
      <alignment horizontal="right"/>
    </xf>
    <xf numFmtId="166" fontId="5" fillId="0" borderId="13" xfId="0" applyNumberFormat="1" applyFont="1" applyFill="1" applyBorder="1" applyAlignment="1" applyProtection="1">
      <protection hidden="1"/>
    </xf>
    <xf numFmtId="166" fontId="7" fillId="0" borderId="36" xfId="0" applyNumberFormat="1" applyFont="1" applyBorder="1" applyAlignment="1">
      <alignment horizontal="left"/>
    </xf>
    <xf numFmtId="166" fontId="5" fillId="0" borderId="13" xfId="0" applyNumberFormat="1" applyFont="1" applyFill="1" applyBorder="1" applyAlignment="1" applyProtection="1"/>
    <xf numFmtId="1" fontId="4" fillId="0" borderId="45" xfId="0" applyNumberFormat="1" applyFont="1" applyBorder="1" applyAlignment="1" applyProtection="1">
      <alignment horizontal="center"/>
      <protection hidden="1"/>
    </xf>
    <xf numFmtId="1" fontId="5" fillId="0" borderId="46" xfId="0" applyNumberFormat="1" applyFont="1" applyFill="1" applyBorder="1" applyAlignment="1" applyProtection="1">
      <alignment horizontal="right"/>
      <protection hidden="1"/>
    </xf>
    <xf numFmtId="1" fontId="4" fillId="0" borderId="45" xfId="0" applyNumberFormat="1" applyFont="1" applyBorder="1" applyAlignment="1">
      <alignment horizontal="right"/>
    </xf>
    <xf numFmtId="1" fontId="4" fillId="0" borderId="10" xfId="0" applyNumberFormat="1" applyFont="1" applyBorder="1" applyAlignment="1" applyProtection="1">
      <alignment horizontal="center"/>
      <protection hidden="1"/>
    </xf>
    <xf numFmtId="1" fontId="5" fillId="0" borderId="13" xfId="0" applyNumberFormat="1" applyFont="1" applyFill="1" applyBorder="1" applyAlignment="1" applyProtection="1">
      <alignment horizontal="right"/>
      <protection hidden="1"/>
    </xf>
    <xf numFmtId="1" fontId="4" fillId="0" borderId="10" xfId="0" applyNumberFormat="1" applyFont="1" applyBorder="1" applyAlignment="1">
      <alignment horizontal="right"/>
    </xf>
    <xf numFmtId="1" fontId="5" fillId="0" borderId="13" xfId="0" applyNumberFormat="1" applyFont="1" applyFill="1" applyBorder="1" applyAlignment="1" applyProtection="1">
      <alignment horizontal="right"/>
    </xf>
    <xf numFmtId="1" fontId="4" fillId="0" borderId="10" xfId="0" applyNumberFormat="1" applyFont="1" applyFill="1" applyBorder="1" applyAlignment="1" applyProtection="1">
      <alignment horizontal="center"/>
      <protection hidden="1"/>
    </xf>
    <xf numFmtId="1" fontId="4" fillId="0" borderId="10" xfId="0" applyNumberFormat="1" applyFont="1" applyFill="1" applyBorder="1" applyAlignment="1" applyProtection="1">
      <alignment horizontal="right"/>
    </xf>
    <xf numFmtId="0" fontId="46" fillId="10" borderId="41" xfId="0" applyFont="1" applyFill="1" applyBorder="1"/>
    <xf numFmtId="0" fontId="49" fillId="3" borderId="0" xfId="0" applyFont="1" applyFill="1" applyBorder="1"/>
    <xf numFmtId="0" fontId="49" fillId="3" borderId="15" xfId="0" applyFont="1" applyFill="1" applyBorder="1"/>
    <xf numFmtId="0" fontId="46" fillId="10" borderId="16" xfId="0" applyFont="1" applyFill="1" applyBorder="1"/>
    <xf numFmtId="0" fontId="46" fillId="10" borderId="42" xfId="0" applyFont="1" applyFill="1" applyBorder="1"/>
    <xf numFmtId="0" fontId="46" fillId="11" borderId="43" xfId="0" applyFont="1" applyFill="1" applyBorder="1"/>
    <xf numFmtId="0" fontId="46" fillId="11" borderId="41" xfId="0" applyFont="1" applyFill="1" applyBorder="1"/>
    <xf numFmtId="0" fontId="46" fillId="10" borderId="43" xfId="0" applyFont="1" applyFill="1" applyBorder="1"/>
    <xf numFmtId="0" fontId="42" fillId="0" borderId="0" xfId="0" applyNumberFormat="1" applyFont="1" applyFill="1" applyBorder="1" applyAlignment="1" applyProtection="1"/>
    <xf numFmtId="0" fontId="42" fillId="0" borderId="0" xfId="0" applyNumberFormat="1" applyFont="1" applyFill="1" applyBorder="1" applyAlignment="1" applyProtection="1">
      <protection locked="0"/>
    </xf>
    <xf numFmtId="5" fontId="42" fillId="0" borderId="0" xfId="0" applyNumberFormat="1" applyFont="1" applyFill="1" applyBorder="1" applyAlignment="1" applyProtection="1"/>
    <xf numFmtId="0" fontId="37" fillId="0" borderId="0" xfId="0" applyFont="1" applyAlignment="1">
      <alignment horizontal="right" vertical="center"/>
    </xf>
    <xf numFmtId="0" fontId="46" fillId="8" borderId="42" xfId="0" applyFont="1" applyFill="1" applyBorder="1" applyAlignment="1" applyProtection="1">
      <alignment horizontal="center" vertical="center"/>
      <protection hidden="1"/>
    </xf>
    <xf numFmtId="0" fontId="46" fillId="9" borderId="41" xfId="0" applyFont="1" applyFill="1" applyBorder="1" applyAlignment="1" applyProtection="1">
      <alignment horizontal="center" vertical="center"/>
      <protection hidden="1"/>
    </xf>
    <xf numFmtId="0" fontId="46" fillId="8" borderId="41" xfId="0" applyFont="1" applyFill="1" applyBorder="1" applyAlignment="1" applyProtection="1">
      <alignment horizontal="center" vertical="center"/>
      <protection hidden="1"/>
    </xf>
    <xf numFmtId="14" fontId="46" fillId="8" borderId="42" xfId="0" applyNumberFormat="1" applyFont="1" applyFill="1" applyBorder="1" applyAlignment="1" applyProtection="1">
      <alignment horizontal="center" vertical="center"/>
      <protection hidden="1"/>
    </xf>
    <xf numFmtId="14" fontId="46" fillId="9" borderId="41" xfId="0" applyNumberFormat="1" applyFont="1" applyFill="1" applyBorder="1" applyAlignment="1" applyProtection="1">
      <alignment horizontal="center" vertical="center"/>
      <protection hidden="1"/>
    </xf>
    <xf numFmtId="14" fontId="46" fillId="8" borderId="41" xfId="0" applyNumberFormat="1" applyFont="1" applyFill="1" applyBorder="1" applyAlignment="1" applyProtection="1">
      <alignment horizontal="center" vertical="center"/>
      <protection hidden="1"/>
    </xf>
    <xf numFmtId="0" fontId="47" fillId="9" borderId="41" xfId="2" applyNumberFormat="1" applyFont="1" applyFill="1" applyBorder="1" applyAlignment="1" applyProtection="1">
      <alignment vertical="center"/>
      <protection hidden="1"/>
    </xf>
    <xf numFmtId="0" fontId="47" fillId="8" borderId="41" xfId="2" applyNumberFormat="1" applyFont="1" applyFill="1" applyBorder="1" applyAlignment="1" applyProtection="1">
      <alignment vertical="center"/>
      <protection hidden="1"/>
    </xf>
    <xf numFmtId="0" fontId="0" fillId="0" borderId="0" xfId="0" applyNumberFormat="1"/>
    <xf numFmtId="0" fontId="42" fillId="0" borderId="0" xfId="0" applyFont="1" applyFill="1" applyAlignment="1">
      <alignment vertical="center"/>
    </xf>
    <xf numFmtId="0" fontId="49" fillId="0" borderId="0" xfId="0" applyFont="1" applyFill="1" applyAlignment="1">
      <alignment vertical="center"/>
    </xf>
    <xf numFmtId="14" fontId="42" fillId="0" borderId="0" xfId="0" applyNumberFormat="1" applyFont="1" applyFill="1" applyAlignment="1">
      <alignment vertical="center"/>
    </xf>
    <xf numFmtId="0" fontId="37" fillId="0" borderId="0" xfId="0" applyFont="1" applyAlignment="1">
      <alignment horizontal="right" vertical="center"/>
    </xf>
    <xf numFmtId="0" fontId="46" fillId="8" borderId="50" xfId="0" applyFont="1" applyFill="1" applyBorder="1" applyAlignment="1" applyProtection="1">
      <alignment vertical="center"/>
      <protection locked="0"/>
    </xf>
    <xf numFmtId="166" fontId="46" fillId="8" borderId="50" xfId="2" applyNumberFormat="1" applyFont="1" applyFill="1" applyBorder="1" applyAlignment="1" applyProtection="1">
      <alignment vertical="center"/>
      <protection locked="0"/>
    </xf>
    <xf numFmtId="0" fontId="46" fillId="8" borderId="50" xfId="0" applyFont="1" applyFill="1" applyBorder="1" applyAlignment="1" applyProtection="1">
      <alignment horizontal="center" vertical="center"/>
      <protection locked="0"/>
    </xf>
    <xf numFmtId="14" fontId="46" fillId="8" borderId="50" xfId="0" applyNumberFormat="1" applyFont="1" applyFill="1" applyBorder="1" applyAlignment="1" applyProtection="1">
      <alignment horizontal="center" vertical="center"/>
      <protection hidden="1"/>
    </xf>
    <xf numFmtId="6" fontId="1" fillId="8" borderId="50" xfId="0" applyNumberFormat="1" applyFont="1" applyFill="1" applyBorder="1" applyAlignment="1" applyProtection="1">
      <alignment vertical="center"/>
      <protection hidden="1"/>
    </xf>
    <xf numFmtId="6" fontId="46" fillId="8" borderId="50" xfId="2" applyNumberFormat="1" applyFont="1" applyFill="1" applyBorder="1" applyAlignment="1" applyProtection="1">
      <alignment vertical="center"/>
      <protection hidden="1"/>
    </xf>
    <xf numFmtId="0" fontId="46" fillId="9" borderId="50" xfId="0" applyFont="1" applyFill="1" applyBorder="1" applyAlignment="1" applyProtection="1">
      <alignment vertical="center"/>
      <protection locked="0"/>
    </xf>
    <xf numFmtId="166" fontId="46" fillId="9" borderId="50" xfId="2" applyNumberFormat="1" applyFont="1" applyFill="1" applyBorder="1" applyAlignment="1" applyProtection="1">
      <alignment vertical="center"/>
      <protection locked="0"/>
    </xf>
    <xf numFmtId="0" fontId="46" fillId="9" borderId="50" xfId="0" applyFont="1" applyFill="1" applyBorder="1" applyAlignment="1" applyProtection="1">
      <alignment horizontal="center" vertical="center"/>
      <protection locked="0"/>
    </xf>
    <xf numFmtId="0" fontId="0" fillId="0" borderId="0" xfId="0" applyFill="1" applyBorder="1"/>
    <xf numFmtId="0" fontId="28" fillId="12" borderId="0" xfId="0" applyNumberFormat="1" applyFont="1" applyFill="1" applyBorder="1" applyAlignment="1">
      <alignment horizontal="left"/>
    </xf>
    <xf numFmtId="164" fontId="28" fillId="12" borderId="15" xfId="0" applyNumberFormat="1" applyFont="1" applyFill="1" applyBorder="1" applyAlignment="1">
      <alignment horizontal="center"/>
    </xf>
    <xf numFmtId="5" fontId="28" fillId="12" borderId="0" xfId="0" applyNumberFormat="1" applyFont="1" applyFill="1" applyBorder="1" applyAlignment="1">
      <alignment horizontal="left"/>
    </xf>
    <xf numFmtId="5" fontId="48" fillId="12" borderId="0" xfId="0" applyNumberFormat="1" applyFont="1" applyFill="1" applyBorder="1" applyAlignment="1">
      <alignment horizontal="left"/>
    </xf>
    <xf numFmtId="164" fontId="48" fillId="12" borderId="15" xfId="0" applyNumberFormat="1" applyFont="1" applyFill="1" applyBorder="1" applyAlignment="1">
      <alignment horizontal="center"/>
    </xf>
    <xf numFmtId="43" fontId="28" fillId="12" borderId="15" xfId="1" applyNumberFormat="1" applyFont="1" applyFill="1" applyBorder="1" applyAlignment="1">
      <alignment horizontal="center"/>
    </xf>
    <xf numFmtId="0" fontId="28" fillId="12" borderId="0" xfId="0" applyNumberFormat="1" applyFont="1" applyFill="1" applyBorder="1" applyAlignment="1">
      <alignment vertical="center"/>
    </xf>
    <xf numFmtId="0" fontId="28" fillId="12" borderId="15" xfId="0" applyNumberFormat="1" applyFont="1" applyFill="1" applyBorder="1" applyAlignment="1">
      <alignment vertical="center"/>
    </xf>
    <xf numFmtId="0" fontId="28" fillId="12" borderId="15" xfId="0" applyNumberFormat="1" applyFont="1" applyFill="1" applyBorder="1" applyAlignment="1">
      <alignment horizontal="center" vertical="center" wrapText="1"/>
    </xf>
    <xf numFmtId="0" fontId="48" fillId="12" borderId="15" xfId="0" applyNumberFormat="1" applyFont="1" applyFill="1" applyBorder="1" applyAlignment="1">
      <alignment horizontal="center" vertical="center" wrapText="1"/>
    </xf>
    <xf numFmtId="5" fontId="28" fillId="12" borderId="0" xfId="0" applyNumberFormat="1" applyFont="1" applyFill="1" applyBorder="1" applyAlignment="1">
      <alignment vertical="center" wrapText="1"/>
    </xf>
    <xf numFmtId="5" fontId="28" fillId="12" borderId="15" xfId="0" applyNumberFormat="1" applyFont="1" applyFill="1" applyBorder="1" applyAlignment="1">
      <alignment vertical="center" wrapText="1"/>
    </xf>
    <xf numFmtId="5" fontId="28" fillId="12" borderId="15" xfId="0" applyNumberFormat="1" applyFont="1" applyFill="1" applyBorder="1" applyAlignment="1">
      <alignment horizontal="center" vertical="center" wrapText="1"/>
    </xf>
    <xf numFmtId="0" fontId="49" fillId="12" borderId="15" xfId="0" applyFont="1" applyFill="1" applyBorder="1" applyAlignment="1">
      <alignment horizontal="center" vertical="center" wrapText="1"/>
    </xf>
    <xf numFmtId="0" fontId="47" fillId="8" borderId="42" xfId="2" applyNumberFormat="1" applyFont="1" applyFill="1" applyBorder="1" applyAlignment="1" applyProtection="1">
      <alignment horizontal="center" vertical="center"/>
      <protection hidden="1"/>
    </xf>
    <xf numFmtId="0" fontId="47" fillId="9" borderId="41" xfId="2" applyNumberFormat="1" applyFont="1" applyFill="1" applyBorder="1" applyAlignment="1" applyProtection="1">
      <alignment horizontal="center" vertical="center"/>
      <protection hidden="1"/>
    </xf>
    <xf numFmtId="0" fontId="47" fillId="8" borderId="41" xfId="2" applyNumberFormat="1" applyFont="1" applyFill="1" applyBorder="1" applyAlignment="1" applyProtection="1">
      <alignment horizontal="center" vertical="center"/>
      <protection hidden="1"/>
    </xf>
    <xf numFmtId="0" fontId="47" fillId="8" borderId="50" xfId="2" applyNumberFormat="1" applyFont="1" applyFill="1" applyBorder="1" applyAlignment="1" applyProtection="1">
      <alignment horizontal="center" vertical="center"/>
      <protection hidden="1"/>
    </xf>
    <xf numFmtId="0" fontId="47" fillId="8" borderId="0" xfId="2" applyNumberFormat="1" applyFont="1" applyFill="1" applyBorder="1" applyAlignment="1" applyProtection="1">
      <alignment horizontal="center" vertical="center"/>
      <protection hidden="1"/>
    </xf>
    <xf numFmtId="0" fontId="47" fillId="8" borderId="51" xfId="2" applyNumberFormat="1" applyFont="1" applyFill="1" applyBorder="1" applyAlignment="1" applyProtection="1">
      <alignment horizontal="center" vertical="center"/>
      <protection hidden="1"/>
    </xf>
    <xf numFmtId="5" fontId="5" fillId="0" borderId="25" xfId="0" applyNumberFormat="1" applyFont="1" applyFill="1" applyBorder="1" applyAlignment="1" applyProtection="1">
      <alignment horizontal="left"/>
    </xf>
    <xf numFmtId="164" fontId="7" fillId="0" borderId="25" xfId="0" applyNumberFormat="1" applyFont="1" applyBorder="1" applyAlignment="1">
      <alignment horizontal="left"/>
    </xf>
    <xf numFmtId="164" fontId="7" fillId="0" borderId="0" xfId="0" applyNumberFormat="1" applyFont="1" applyBorder="1" applyAlignment="1">
      <alignment horizontal="left"/>
    </xf>
    <xf numFmtId="1" fontId="5" fillId="0" borderId="45" xfId="0" applyNumberFormat="1" applyFont="1" applyFill="1" applyBorder="1" applyAlignment="1" applyProtection="1">
      <alignment horizontal="right"/>
      <protection hidden="1"/>
    </xf>
    <xf numFmtId="1" fontId="5" fillId="0" borderId="10" xfId="0" applyNumberFormat="1" applyFont="1" applyFill="1" applyBorder="1" applyAlignment="1" applyProtection="1">
      <alignment horizontal="right"/>
      <protection hidden="1"/>
    </xf>
    <xf numFmtId="1" fontId="5" fillId="0" borderId="26" xfId="0" applyNumberFormat="1" applyFont="1" applyFill="1" applyBorder="1" applyAlignment="1" applyProtection="1">
      <alignment horizontal="right"/>
      <protection hidden="1"/>
    </xf>
    <xf numFmtId="5" fontId="28" fillId="13" borderId="0" xfId="0" applyNumberFormat="1" applyFont="1" applyFill="1" applyBorder="1" applyAlignment="1">
      <alignment vertical="center" wrapText="1"/>
    </xf>
    <xf numFmtId="5" fontId="28" fillId="13" borderId="15" xfId="0" applyNumberFormat="1" applyFont="1" applyFill="1" applyBorder="1" applyAlignment="1">
      <alignment vertical="center" wrapText="1"/>
    </xf>
    <xf numFmtId="0" fontId="28" fillId="13" borderId="15" xfId="0" applyNumberFormat="1" applyFont="1" applyFill="1" applyBorder="1" applyAlignment="1">
      <alignment horizontal="center" vertical="center" wrapText="1"/>
    </xf>
    <xf numFmtId="5" fontId="28" fillId="13" borderId="15" xfId="0" applyNumberFormat="1" applyFont="1" applyFill="1" applyBorder="1" applyAlignment="1">
      <alignment horizontal="center" vertical="center" wrapText="1"/>
    </xf>
    <xf numFmtId="0" fontId="49" fillId="13" borderId="15" xfId="0" applyFont="1" applyFill="1" applyBorder="1" applyAlignment="1">
      <alignment horizontal="center" vertical="center" wrapText="1"/>
    </xf>
    <xf numFmtId="1" fontId="4" fillId="14" borderId="45" xfId="2" applyNumberFormat="1" applyFont="1" applyFill="1" applyBorder="1" applyAlignment="1" applyProtection="1">
      <alignment horizontal="right"/>
      <protection hidden="1"/>
    </xf>
    <xf numFmtId="1" fontId="4" fillId="14" borderId="10" xfId="2" applyNumberFormat="1" applyFont="1" applyFill="1" applyBorder="1" applyAlignment="1" applyProtection="1">
      <alignment horizontal="right"/>
      <protection hidden="1"/>
    </xf>
    <xf numFmtId="1" fontId="4" fillId="14" borderId="26" xfId="2" applyNumberFormat="1" applyFont="1" applyFill="1" applyBorder="1" applyAlignment="1" applyProtection="1">
      <alignment horizontal="right"/>
      <protection hidden="1"/>
    </xf>
    <xf numFmtId="1" fontId="4" fillId="14" borderId="45" xfId="1" applyNumberFormat="1" applyFont="1" applyFill="1" applyBorder="1" applyAlignment="1" applyProtection="1">
      <alignment horizontal="right"/>
      <protection hidden="1"/>
    </xf>
    <xf numFmtId="1" fontId="4" fillId="14" borderId="10" xfId="1" applyNumberFormat="1" applyFont="1" applyFill="1" applyBorder="1" applyAlignment="1" applyProtection="1">
      <alignment horizontal="right"/>
      <protection hidden="1"/>
    </xf>
    <xf numFmtId="1" fontId="4" fillId="14" borderId="26" xfId="1" applyNumberFormat="1" applyFont="1" applyFill="1" applyBorder="1" applyAlignment="1" applyProtection="1">
      <alignment horizontal="right"/>
      <protection hidden="1"/>
    </xf>
    <xf numFmtId="0" fontId="1" fillId="0" borderId="25" xfId="0" quotePrefix="1" applyNumberFormat="1" applyFont="1" applyFill="1" applyBorder="1" applyAlignment="1" applyProtection="1">
      <alignment horizontal="right" wrapText="1"/>
    </xf>
    <xf numFmtId="166" fontId="1" fillId="14" borderId="10" xfId="2" applyNumberFormat="1" applyFont="1" applyFill="1" applyBorder="1" applyAlignment="1" applyProtection="1">
      <alignment horizontal="right"/>
    </xf>
    <xf numFmtId="5" fontId="5" fillId="0" borderId="23" xfId="0" applyNumberFormat="1" applyFont="1" applyFill="1" applyBorder="1" applyAlignment="1" applyProtection="1">
      <alignment horizontal="right"/>
    </xf>
    <xf numFmtId="5" fontId="5" fillId="0" borderId="5" xfId="0" applyNumberFormat="1" applyFont="1" applyFill="1" applyBorder="1" applyAlignment="1" applyProtection="1">
      <alignment horizontal="right"/>
    </xf>
    <xf numFmtId="166" fontId="4" fillId="0" borderId="8" xfId="2" applyNumberFormat="1" applyFont="1" applyBorder="1" applyProtection="1">
      <protection hidden="1"/>
    </xf>
    <xf numFmtId="1" fontId="4" fillId="0" borderId="52" xfId="1" applyNumberFormat="1" applyFont="1" applyBorder="1" applyAlignment="1" applyProtection="1">
      <alignment horizontal="right"/>
      <protection hidden="1"/>
    </xf>
    <xf numFmtId="1" fontId="4" fillId="0" borderId="8" xfId="1" applyNumberFormat="1" applyFont="1" applyBorder="1" applyAlignment="1" applyProtection="1">
      <alignment horizontal="right"/>
      <protection hidden="1"/>
    </xf>
    <xf numFmtId="1" fontId="4" fillId="0" borderId="24" xfId="1" applyNumberFormat="1" applyFont="1" applyBorder="1" applyAlignment="1" applyProtection="1">
      <alignment horizontal="right"/>
      <protection hidden="1"/>
    </xf>
    <xf numFmtId="1" fontId="4" fillId="0" borderId="0" xfId="1" applyNumberFormat="1" applyFont="1" applyBorder="1" applyAlignment="1" applyProtection="1">
      <alignment horizontal="right"/>
      <protection hidden="1"/>
    </xf>
    <xf numFmtId="0" fontId="0" fillId="0" borderId="32" xfId="0" applyBorder="1" applyAlignment="1" applyProtection="1">
      <alignment horizontal="center"/>
      <protection locked="0"/>
    </xf>
    <xf numFmtId="0" fontId="4" fillId="0" borderId="26" xfId="0" applyNumberFormat="1" applyFont="1" applyFill="1" applyBorder="1" applyAlignment="1" applyProtection="1"/>
    <xf numFmtId="0" fontId="0" fillId="0" borderId="31" xfId="0" applyBorder="1" applyAlignment="1" applyProtection="1">
      <alignment horizontal="center"/>
      <protection locked="0"/>
    </xf>
    <xf numFmtId="0" fontId="0" fillId="0" borderId="10" xfId="0" applyBorder="1"/>
    <xf numFmtId="164" fontId="3" fillId="0" borderId="54" xfId="0" applyNumberFormat="1" applyFont="1" applyBorder="1" applyAlignment="1">
      <alignment horizontal="left"/>
    </xf>
    <xf numFmtId="0" fontId="37" fillId="0" borderId="55" xfId="0" applyNumberFormat="1" applyFont="1" applyFill="1" applyBorder="1" applyAlignment="1" applyProtection="1"/>
    <xf numFmtId="0" fontId="37" fillId="0" borderId="53" xfId="0" applyNumberFormat="1" applyFont="1" applyFill="1" applyBorder="1" applyAlignment="1" applyProtection="1"/>
    <xf numFmtId="166" fontId="4" fillId="0" borderId="56" xfId="2" applyNumberFormat="1" applyFont="1" applyBorder="1" applyProtection="1">
      <protection hidden="1"/>
    </xf>
    <xf numFmtId="1" fontId="4" fillId="0" borderId="57" xfId="2" applyNumberFormat="1" applyFont="1" applyBorder="1" applyAlignment="1" applyProtection="1">
      <alignment horizontal="right"/>
      <protection hidden="1"/>
    </xf>
    <xf numFmtId="1" fontId="4" fillId="0" borderId="56" xfId="2" applyNumberFormat="1" applyFont="1" applyBorder="1" applyAlignment="1" applyProtection="1">
      <alignment horizontal="right"/>
      <protection hidden="1"/>
    </xf>
    <xf numFmtId="1" fontId="4" fillId="0" borderId="58" xfId="2" applyNumberFormat="1" applyFont="1" applyBorder="1" applyAlignment="1" applyProtection="1">
      <alignment horizontal="right"/>
      <protection hidden="1"/>
    </xf>
    <xf numFmtId="166" fontId="4" fillId="0" borderId="38" xfId="2" applyNumberFormat="1" applyFont="1" applyBorder="1" applyProtection="1">
      <protection hidden="1"/>
    </xf>
    <xf numFmtId="166" fontId="4" fillId="0" borderId="26" xfId="0" applyNumberFormat="1" applyFont="1" applyFill="1" applyBorder="1" applyAlignment="1" applyProtection="1">
      <protection hidden="1"/>
    </xf>
    <xf numFmtId="166" fontId="4" fillId="14" borderId="26" xfId="2" applyNumberFormat="1" applyFont="1" applyFill="1" applyBorder="1" applyProtection="1">
      <protection hidden="1"/>
    </xf>
    <xf numFmtId="166" fontId="4" fillId="14" borderId="26" xfId="1" applyNumberFormat="1" applyFont="1" applyFill="1" applyBorder="1" applyProtection="1">
      <protection hidden="1"/>
    </xf>
    <xf numFmtId="166" fontId="4" fillId="0" borderId="24" xfId="2" applyNumberFormat="1" applyFont="1" applyBorder="1" applyProtection="1">
      <protection hidden="1"/>
    </xf>
    <xf numFmtId="166" fontId="4" fillId="0" borderId="26" xfId="0" applyNumberFormat="1" applyFont="1" applyBorder="1" applyProtection="1">
      <protection hidden="1"/>
    </xf>
    <xf numFmtId="0" fontId="0" fillId="0" borderId="33" xfId="0" applyBorder="1" applyAlignment="1" applyProtection="1">
      <alignment horizontal="center"/>
      <protection locked="0"/>
    </xf>
    <xf numFmtId="166" fontId="5" fillId="0" borderId="40" xfId="0" applyNumberFormat="1" applyFont="1" applyFill="1" applyBorder="1" applyAlignment="1" applyProtection="1">
      <protection hidden="1"/>
    </xf>
    <xf numFmtId="166" fontId="4" fillId="0" borderId="26" xfId="2" applyNumberFormat="1" applyFont="1" applyBorder="1" applyProtection="1">
      <protection hidden="1"/>
    </xf>
    <xf numFmtId="166" fontId="4" fillId="0" borderId="58" xfId="2" applyNumberFormat="1" applyFont="1" applyBorder="1" applyProtection="1">
      <protection hidden="1"/>
    </xf>
    <xf numFmtId="0" fontId="1" fillId="0" borderId="26" xfId="0" applyNumberFormat="1" applyFont="1" applyFill="1" applyBorder="1" applyAlignment="1" applyProtection="1">
      <alignment horizontal="center"/>
      <protection hidden="1"/>
    </xf>
    <xf numFmtId="0" fontId="4" fillId="0" borderId="26" xfId="0" applyNumberFormat="1" applyFont="1" applyFill="1" applyBorder="1" applyAlignment="1" applyProtection="1">
      <protection hidden="1"/>
    </xf>
    <xf numFmtId="166" fontId="5" fillId="0" borderId="38" xfId="1" applyNumberFormat="1" applyFont="1" applyBorder="1" applyProtection="1">
      <protection hidden="1"/>
    </xf>
    <xf numFmtId="166" fontId="4" fillId="14" borderId="59" xfId="1" applyNumberFormat="1" applyFont="1" applyFill="1" applyBorder="1" applyProtection="1">
      <protection hidden="1"/>
    </xf>
    <xf numFmtId="166" fontId="4" fillId="14" borderId="59" xfId="2" applyNumberFormat="1" applyFont="1" applyFill="1" applyBorder="1" applyProtection="1">
      <protection hidden="1"/>
    </xf>
    <xf numFmtId="166" fontId="4" fillId="0" borderId="59" xfId="0" applyNumberFormat="1" applyFont="1" applyBorder="1" applyProtection="1">
      <protection hidden="1"/>
    </xf>
    <xf numFmtId="166" fontId="4" fillId="0" borderId="61" xfId="0" applyNumberFormat="1" applyFont="1" applyFill="1" applyBorder="1" applyAlignment="1" applyProtection="1">
      <alignment horizontal="center"/>
      <protection hidden="1"/>
    </xf>
    <xf numFmtId="166" fontId="4" fillId="0" borderId="59" xfId="0" applyNumberFormat="1" applyFont="1" applyFill="1" applyBorder="1" applyAlignment="1" applyProtection="1">
      <protection hidden="1"/>
    </xf>
    <xf numFmtId="166" fontId="5" fillId="0" borderId="62" xfId="1" applyNumberFormat="1" applyFont="1" applyBorder="1" applyProtection="1">
      <protection hidden="1"/>
    </xf>
    <xf numFmtId="166" fontId="4" fillId="0" borderId="62" xfId="2" applyNumberFormat="1" applyFont="1" applyBorder="1" applyProtection="1">
      <protection hidden="1"/>
    </xf>
    <xf numFmtId="166" fontId="4" fillId="0" borderId="59" xfId="2" applyNumberFormat="1" applyFont="1" applyBorder="1" applyProtection="1">
      <protection hidden="1"/>
    </xf>
    <xf numFmtId="166" fontId="4" fillId="0" borderId="63" xfId="0" applyNumberFormat="1" applyFont="1" applyFill="1" applyBorder="1" applyAlignment="1" applyProtection="1">
      <protection hidden="1"/>
    </xf>
    <xf numFmtId="166" fontId="4" fillId="0" borderId="33" xfId="0" applyNumberFormat="1" applyFont="1" applyFill="1" applyBorder="1" applyAlignment="1" applyProtection="1">
      <alignment horizontal="center"/>
      <protection hidden="1"/>
    </xf>
    <xf numFmtId="166" fontId="4" fillId="14" borderId="28" xfId="1" applyNumberFormat="1" applyFont="1" applyFill="1" applyBorder="1" applyProtection="1">
      <protection hidden="1"/>
    </xf>
    <xf numFmtId="166" fontId="5" fillId="0" borderId="62" xfId="0" applyNumberFormat="1" applyFont="1" applyFill="1" applyBorder="1" applyAlignment="1" applyProtection="1">
      <protection hidden="1"/>
    </xf>
    <xf numFmtId="166" fontId="4" fillId="0" borderId="60" xfId="0" applyNumberFormat="1" applyFont="1" applyFill="1" applyBorder="1" applyAlignment="1" applyProtection="1">
      <protection hidden="1"/>
    </xf>
    <xf numFmtId="166" fontId="4" fillId="0" borderId="59" xfId="0" applyNumberFormat="1" applyFont="1" applyFill="1" applyBorder="1" applyAlignment="1" applyProtection="1"/>
    <xf numFmtId="166" fontId="7" fillId="0" borderId="10" xfId="0" applyNumberFormat="1" applyFont="1" applyBorder="1" applyAlignment="1">
      <alignment horizontal="left"/>
    </xf>
    <xf numFmtId="0" fontId="49" fillId="15" borderId="15" xfId="0" applyFont="1" applyFill="1" applyBorder="1" applyAlignment="1">
      <alignment horizontal="center" vertical="center" wrapText="1"/>
    </xf>
    <xf numFmtId="0" fontId="28" fillId="15" borderId="15" xfId="0" applyNumberFormat="1" applyFont="1" applyFill="1" applyBorder="1" applyAlignment="1">
      <alignment horizontal="center" vertical="center" wrapText="1"/>
    </xf>
    <xf numFmtId="0" fontId="47" fillId="8" borderId="43" xfId="2" applyNumberFormat="1" applyFont="1" applyFill="1" applyBorder="1" applyAlignment="1" applyProtection="1">
      <alignment horizontal="center" vertical="center"/>
      <protection hidden="1"/>
    </xf>
    <xf numFmtId="0" fontId="48" fillId="15" borderId="15" xfId="0" applyNumberFormat="1" applyFont="1" applyFill="1" applyBorder="1" applyAlignment="1">
      <alignment horizontal="center" vertical="center" wrapText="1"/>
    </xf>
    <xf numFmtId="0" fontId="48" fillId="15" borderId="15" xfId="0" applyNumberFormat="1" applyFont="1" applyFill="1" applyBorder="1" applyAlignment="1">
      <alignment vertical="center"/>
    </xf>
    <xf numFmtId="0" fontId="46" fillId="8" borderId="42" xfId="0" applyNumberFormat="1" applyFont="1" applyFill="1" applyBorder="1" applyAlignment="1" applyProtection="1">
      <alignment horizontal="center" vertical="center"/>
      <protection hidden="1"/>
    </xf>
    <xf numFmtId="166" fontId="46" fillId="8" borderId="42" xfId="2" applyNumberFormat="1" applyFont="1" applyFill="1" applyBorder="1" applyAlignment="1" applyProtection="1">
      <alignment horizontal="center" vertical="center"/>
      <protection hidden="1"/>
    </xf>
    <xf numFmtId="0" fontId="47" fillId="9" borderId="43" xfId="2" applyNumberFormat="1" applyFont="1" applyFill="1" applyBorder="1" applyAlignment="1" applyProtection="1">
      <alignment vertical="center"/>
      <protection hidden="1"/>
    </xf>
    <xf numFmtId="0" fontId="47" fillId="8" borderId="50" xfId="2" applyNumberFormat="1" applyFont="1" applyFill="1" applyBorder="1" applyAlignment="1" applyProtection="1">
      <alignment vertical="center"/>
      <protection hidden="1"/>
    </xf>
    <xf numFmtId="0" fontId="47" fillId="9" borderId="50" xfId="2" applyNumberFormat="1" applyFont="1" applyFill="1" applyBorder="1" applyAlignment="1" applyProtection="1">
      <alignment vertical="center"/>
      <protection hidden="1"/>
    </xf>
    <xf numFmtId="9" fontId="46" fillId="8" borderId="42" xfId="4" applyFont="1" applyFill="1" applyBorder="1" applyAlignment="1" applyProtection="1">
      <alignment horizontal="center" vertical="center"/>
      <protection hidden="1"/>
    </xf>
    <xf numFmtId="0" fontId="46" fillId="9" borderId="41" xfId="0" applyNumberFormat="1" applyFont="1" applyFill="1" applyBorder="1" applyAlignment="1" applyProtection="1">
      <alignment horizontal="center" vertical="center"/>
      <protection hidden="1"/>
    </xf>
    <xf numFmtId="166" fontId="46" fillId="9" borderId="41" xfId="2" applyNumberFormat="1" applyFont="1" applyFill="1" applyBorder="1" applyAlignment="1" applyProtection="1">
      <alignment horizontal="center" vertical="center"/>
      <protection hidden="1"/>
    </xf>
    <xf numFmtId="0" fontId="46" fillId="8" borderId="41" xfId="0" applyNumberFormat="1" applyFont="1" applyFill="1" applyBorder="1" applyAlignment="1" applyProtection="1">
      <alignment horizontal="center" vertical="center"/>
      <protection hidden="1"/>
    </xf>
    <xf numFmtId="166" fontId="46" fillId="8" borderId="41" xfId="2" applyNumberFormat="1" applyFont="1" applyFill="1" applyBorder="1" applyAlignment="1" applyProtection="1">
      <alignment horizontal="center" vertical="center"/>
      <protection hidden="1"/>
    </xf>
    <xf numFmtId="0" fontId="46" fillId="8" borderId="50" xfId="0" applyFont="1" applyFill="1" applyBorder="1" applyAlignment="1" applyProtection="1">
      <alignment horizontal="center" vertical="center"/>
      <protection hidden="1"/>
    </xf>
    <xf numFmtId="0" fontId="46" fillId="8" borderId="50" xfId="0" applyNumberFormat="1" applyFont="1" applyFill="1" applyBorder="1" applyAlignment="1" applyProtection="1">
      <alignment horizontal="center" vertical="center"/>
      <protection hidden="1"/>
    </xf>
    <xf numFmtId="166" fontId="46" fillId="8" borderId="50" xfId="2" applyNumberFormat="1" applyFont="1" applyFill="1" applyBorder="1" applyAlignment="1" applyProtection="1">
      <alignment horizontal="center" vertical="center"/>
      <protection hidden="1"/>
    </xf>
    <xf numFmtId="5" fontId="1" fillId="0" borderId="25" xfId="0" applyNumberFormat="1" applyFont="1" applyBorder="1" applyAlignment="1" applyProtection="1">
      <alignment horizontal="right"/>
      <protection hidden="1"/>
    </xf>
    <xf numFmtId="0" fontId="37" fillId="0" borderId="0" xfId="0" applyFont="1" applyAlignment="1">
      <alignment horizontal="right" vertical="center"/>
    </xf>
    <xf numFmtId="0" fontId="1" fillId="0" borderId="25" xfId="0" applyFont="1" applyBorder="1" applyAlignment="1" applyProtection="1">
      <alignment horizontal="right"/>
      <protection hidden="1"/>
    </xf>
    <xf numFmtId="0" fontId="1" fillId="0" borderId="0" xfId="0" applyFont="1" applyProtection="1">
      <protection hidden="1"/>
    </xf>
    <xf numFmtId="43" fontId="47" fillId="9" borderId="41" xfId="1" applyNumberFormat="1" applyFont="1" applyFill="1" applyBorder="1" applyProtection="1"/>
    <xf numFmtId="43" fontId="47" fillId="8" borderId="41" xfId="1" applyNumberFormat="1" applyFont="1" applyFill="1" applyBorder="1" applyProtection="1"/>
    <xf numFmtId="0" fontId="0" fillId="0" borderId="25" xfId="0" applyBorder="1" applyAlignment="1" applyProtection="1">
      <alignment horizontal="right"/>
      <protection hidden="1"/>
    </xf>
    <xf numFmtId="0" fontId="1" fillId="0" borderId="0" xfId="0" applyFont="1" applyAlignment="1">
      <alignment horizontal="right" vertical="center"/>
    </xf>
    <xf numFmtId="0" fontId="37" fillId="0" borderId="0" xfId="0" applyFont="1" applyAlignment="1">
      <alignment horizontal="right" vertical="center"/>
    </xf>
    <xf numFmtId="44" fontId="0" fillId="0" borderId="0" xfId="2" applyFont="1"/>
    <xf numFmtId="0" fontId="52" fillId="0" borderId="0" xfId="0" applyFont="1" applyAlignment="1">
      <alignment horizontal="right" vertical="center"/>
    </xf>
    <xf numFmtId="0" fontId="5" fillId="0" borderId="0" xfId="0" applyFont="1"/>
    <xf numFmtId="0" fontId="1" fillId="0" borderId="25" xfId="0" quotePrefix="1" applyNumberFormat="1" applyFont="1" applyFill="1" applyBorder="1" applyAlignment="1" applyProtection="1">
      <alignment horizontal="right"/>
      <protection locked="0"/>
    </xf>
    <xf numFmtId="0" fontId="1" fillId="0" borderId="25" xfId="0" applyFont="1" applyBorder="1" applyAlignment="1" applyProtection="1">
      <alignment horizontal="right"/>
      <protection hidden="1"/>
    </xf>
    <xf numFmtId="0" fontId="1" fillId="0" borderId="25" xfId="0" applyNumberFormat="1" applyFont="1" applyFill="1" applyBorder="1" applyAlignment="1" applyProtection="1">
      <alignment horizontal="right" wrapText="1"/>
      <protection locked="0"/>
    </xf>
    <xf numFmtId="43" fontId="1" fillId="0" borderId="25" xfId="1" applyFont="1" applyBorder="1" applyAlignment="1" applyProtection="1">
      <alignment horizontal="right" wrapText="1"/>
      <protection locked="0"/>
    </xf>
    <xf numFmtId="44" fontId="47" fillId="9" borderId="43" xfId="2" applyFont="1" applyFill="1" applyBorder="1" applyAlignment="1" applyProtection="1">
      <alignment horizontal="right"/>
      <protection locked="0"/>
    </xf>
    <xf numFmtId="44" fontId="47" fillId="8" borderId="43" xfId="2" applyFont="1" applyFill="1" applyBorder="1" applyAlignment="1" applyProtection="1">
      <alignment horizontal="right"/>
      <protection locked="0"/>
    </xf>
    <xf numFmtId="166" fontId="1" fillId="0" borderId="10" xfId="1" applyNumberFormat="1" applyFont="1" applyBorder="1" applyProtection="1">
      <protection hidden="1"/>
    </xf>
    <xf numFmtId="0" fontId="19" fillId="0" borderId="0" xfId="0" applyFont="1" applyBorder="1" applyAlignment="1" applyProtection="1">
      <alignment horizontal="center"/>
      <protection locked="0"/>
    </xf>
    <xf numFmtId="0" fontId="19" fillId="0" borderId="65" xfId="0" applyFont="1" applyBorder="1" applyProtection="1">
      <protection locked="0"/>
    </xf>
    <xf numFmtId="0" fontId="19" fillId="0" borderId="65" xfId="0" applyFont="1" applyBorder="1" applyAlignment="1" applyProtection="1">
      <alignment horizontal="left"/>
      <protection locked="0"/>
    </xf>
    <xf numFmtId="0" fontId="19" fillId="0" borderId="65" xfId="0" applyFont="1" applyBorder="1" applyAlignment="1" applyProtection="1">
      <alignment horizontal="center"/>
      <protection locked="0"/>
    </xf>
    <xf numFmtId="166" fontId="4" fillId="14" borderId="26" xfId="0" applyNumberFormat="1" applyFont="1" applyFill="1" applyBorder="1" applyAlignment="1" applyProtection="1">
      <protection hidden="1"/>
    </xf>
    <xf numFmtId="1" fontId="4" fillId="14" borderId="10" xfId="0" applyNumberFormat="1" applyFont="1" applyFill="1" applyBorder="1" applyAlignment="1" applyProtection="1">
      <alignment horizontal="right"/>
      <protection hidden="1"/>
    </xf>
    <xf numFmtId="1" fontId="4" fillId="14" borderId="26" xfId="0" applyNumberFormat="1" applyFont="1" applyFill="1" applyBorder="1" applyAlignment="1" applyProtection="1">
      <alignment horizontal="right"/>
      <protection hidden="1"/>
    </xf>
    <xf numFmtId="1" fontId="4" fillId="14" borderId="45" xfId="0" applyNumberFormat="1" applyFont="1" applyFill="1" applyBorder="1" applyAlignment="1" applyProtection="1">
      <alignment horizontal="right"/>
    </xf>
    <xf numFmtId="1" fontId="4" fillId="14" borderId="10" xfId="0" applyNumberFormat="1" applyFont="1" applyFill="1" applyBorder="1" applyAlignment="1" applyProtection="1">
      <alignment horizontal="right"/>
    </xf>
    <xf numFmtId="1" fontId="4" fillId="14" borderId="26" xfId="0" applyNumberFormat="1" applyFont="1" applyFill="1" applyBorder="1" applyAlignment="1" applyProtection="1">
      <alignment horizontal="right"/>
    </xf>
    <xf numFmtId="166" fontId="1" fillId="14" borderId="10" xfId="0" applyNumberFormat="1" applyFont="1" applyFill="1" applyBorder="1" applyAlignment="1" applyProtection="1">
      <protection hidden="1"/>
    </xf>
    <xf numFmtId="0" fontId="28" fillId="13" borderId="0" xfId="0" applyNumberFormat="1" applyFont="1" applyFill="1" applyBorder="1" applyAlignment="1">
      <alignment horizontal="left"/>
    </xf>
    <xf numFmtId="164" fontId="28" fillId="13" borderId="15" xfId="0" applyNumberFormat="1" applyFont="1" applyFill="1" applyBorder="1" applyAlignment="1">
      <alignment horizontal="center"/>
    </xf>
    <xf numFmtId="166" fontId="4" fillId="0" borderId="10" xfId="1" applyNumberFormat="1" applyFont="1" applyFill="1" applyBorder="1" applyProtection="1">
      <protection hidden="1"/>
    </xf>
    <xf numFmtId="166" fontId="1" fillId="0" borderId="10" xfId="0" applyNumberFormat="1" applyFont="1" applyBorder="1" applyProtection="1">
      <protection hidden="1"/>
    </xf>
    <xf numFmtId="0" fontId="4" fillId="0" borderId="0" xfId="0" applyNumberFormat="1" applyFont="1" applyFill="1" applyBorder="1" applyAlignment="1" applyProtection="1">
      <protection hidden="1"/>
    </xf>
    <xf numFmtId="164" fontId="42" fillId="0" borderId="0" xfId="0" applyNumberFormat="1" applyFont="1" applyAlignment="1" applyProtection="1">
      <alignment horizontal="center" vertical="center"/>
      <protection hidden="1"/>
    </xf>
    <xf numFmtId="0" fontId="42" fillId="0" borderId="0" xfId="1" applyNumberFormat="1" applyFont="1" applyBorder="1" applyAlignment="1" applyProtection="1">
      <alignment horizontal="center" vertical="center"/>
      <protection hidden="1"/>
    </xf>
    <xf numFmtId="164" fontId="42" fillId="0" borderId="0" xfId="0" applyNumberFormat="1" applyFont="1" applyProtection="1">
      <protection hidden="1"/>
    </xf>
    <xf numFmtId="0" fontId="35" fillId="0" borderId="0" xfId="0" applyNumberFormat="1" applyFont="1" applyFill="1" applyBorder="1" applyAlignment="1" applyProtection="1">
      <protection hidden="1"/>
    </xf>
    <xf numFmtId="5" fontId="35" fillId="0" borderId="0" xfId="0" applyNumberFormat="1" applyFont="1" applyFill="1" applyBorder="1" applyAlignment="1" applyProtection="1">
      <protection hidden="1"/>
    </xf>
    <xf numFmtId="166" fontId="1" fillId="0" borderId="10" xfId="0" applyNumberFormat="1" applyFont="1" applyFill="1" applyBorder="1" applyAlignment="1" applyProtection="1">
      <protection locked="0"/>
    </xf>
    <xf numFmtId="166" fontId="1" fillId="0" borderId="0" xfId="2" applyNumberFormat="1" applyFont="1" applyBorder="1" applyProtection="1">
      <protection hidden="1"/>
    </xf>
    <xf numFmtId="166" fontId="1" fillId="0" borderId="0" xfId="1" applyNumberFormat="1" applyFont="1" applyBorder="1" applyProtection="1">
      <protection hidden="1"/>
    </xf>
    <xf numFmtId="1" fontId="5" fillId="0" borderId="46" xfId="0" applyNumberFormat="1" applyFont="1" applyFill="1" applyBorder="1" applyAlignment="1" applyProtection="1">
      <alignment horizontal="right"/>
    </xf>
    <xf numFmtId="167" fontId="4" fillId="14" borderId="45" xfId="0" applyNumberFormat="1" applyFont="1" applyFill="1" applyBorder="1" applyAlignment="1" applyProtection="1">
      <alignment horizontal="center"/>
      <protection hidden="1"/>
    </xf>
    <xf numFmtId="170" fontId="4" fillId="14" borderId="10" xfId="1" applyNumberFormat="1" applyFont="1" applyFill="1" applyBorder="1" applyAlignment="1" applyProtection="1">
      <alignment horizontal="center"/>
    </xf>
    <xf numFmtId="170" fontId="4" fillId="14" borderId="26" xfId="1" applyNumberFormat="1" applyFont="1" applyFill="1" applyBorder="1" applyAlignment="1" applyProtection="1">
      <alignment horizontal="center"/>
    </xf>
    <xf numFmtId="170" fontId="5" fillId="0" borderId="19" xfId="1" applyNumberFormat="1" applyFont="1" applyFill="1" applyBorder="1" applyAlignment="1" applyProtection="1">
      <alignment horizontal="right"/>
      <protection hidden="1"/>
    </xf>
    <xf numFmtId="170" fontId="5" fillId="0" borderId="48" xfId="1" applyNumberFormat="1" applyFont="1" applyFill="1" applyBorder="1" applyAlignment="1" applyProtection="1">
      <alignment horizontal="right"/>
      <protection hidden="1"/>
    </xf>
    <xf numFmtId="170" fontId="5" fillId="0" borderId="30" xfId="1" applyNumberFormat="1" applyFont="1" applyFill="1" applyBorder="1" applyAlignment="1" applyProtection="1">
      <alignment horizontal="right"/>
      <protection hidden="1"/>
    </xf>
    <xf numFmtId="166" fontId="9" fillId="0" borderId="36" xfId="2" applyNumberFormat="1" applyFont="1" applyBorder="1" applyProtection="1">
      <protection hidden="1"/>
    </xf>
    <xf numFmtId="0" fontId="42" fillId="0" borderId="0" xfId="0" applyFont="1" applyAlignment="1" applyProtection="1">
      <alignment vertical="center"/>
      <protection hidden="1"/>
    </xf>
    <xf numFmtId="0" fontId="49" fillId="0" borderId="0" xfId="0" applyFont="1" applyAlignment="1" applyProtection="1">
      <alignment vertical="center"/>
      <protection hidden="1"/>
    </xf>
    <xf numFmtId="6" fontId="42" fillId="0" borderId="0" xfId="0" applyNumberFormat="1" applyFont="1" applyAlignment="1" applyProtection="1">
      <alignment vertical="center"/>
      <protection hidden="1"/>
    </xf>
    <xf numFmtId="0" fontId="42" fillId="0" borderId="0" xfId="0" applyFont="1" applyAlignment="1">
      <alignment vertical="center"/>
    </xf>
    <xf numFmtId="8" fontId="42" fillId="0" borderId="0" xfId="0" applyNumberFormat="1" applyFont="1" applyAlignment="1" applyProtection="1">
      <alignment vertical="center"/>
      <protection hidden="1"/>
    </xf>
    <xf numFmtId="169" fontId="0" fillId="0" borderId="0" xfId="0" applyNumberFormat="1"/>
    <xf numFmtId="0" fontId="37" fillId="0" borderId="0" xfId="0" applyFont="1" applyAlignment="1">
      <alignment horizontal="right" vertical="center"/>
    </xf>
    <xf numFmtId="0" fontId="42" fillId="0" borderId="0" xfId="0" applyFont="1" applyProtection="1">
      <protection locked="0"/>
    </xf>
    <xf numFmtId="0" fontId="42" fillId="0" borderId="0" xfId="0" applyFont="1" applyProtection="1">
      <protection hidden="1"/>
    </xf>
    <xf numFmtId="166" fontId="5" fillId="0" borderId="0" xfId="0" applyNumberFormat="1" applyFont="1" applyAlignment="1">
      <alignment vertical="center"/>
    </xf>
    <xf numFmtId="0" fontId="46" fillId="8" borderId="50" xfId="2" applyNumberFormat="1" applyFont="1" applyFill="1" applyBorder="1" applyAlignment="1" applyProtection="1">
      <alignment horizontal="center" vertical="center"/>
      <protection hidden="1"/>
    </xf>
    <xf numFmtId="0" fontId="50" fillId="8" borderId="16" xfId="0" applyNumberFormat="1" applyFont="1" applyFill="1" applyBorder="1" applyAlignment="1" applyProtection="1">
      <alignment horizontal="right"/>
      <protection hidden="1"/>
    </xf>
    <xf numFmtId="44" fontId="50" fillId="8" borderId="42" xfId="2" applyNumberFormat="1" applyFont="1" applyFill="1" applyBorder="1" applyProtection="1">
      <protection hidden="1"/>
    </xf>
    <xf numFmtId="43" fontId="50" fillId="8" borderId="42" xfId="1" applyNumberFormat="1" applyFont="1" applyFill="1" applyBorder="1" applyProtection="1">
      <protection hidden="1"/>
    </xf>
    <xf numFmtId="44" fontId="42" fillId="0" borderId="0" xfId="1" applyNumberFormat="1" applyFont="1" applyAlignment="1" applyProtection="1">
      <alignment vertical="center"/>
      <protection hidden="1"/>
    </xf>
    <xf numFmtId="0" fontId="49" fillId="0" borderId="0" xfId="0" applyFont="1" applyAlignment="1">
      <alignment vertical="center"/>
    </xf>
    <xf numFmtId="43" fontId="42" fillId="0" borderId="0" xfId="1" applyFont="1" applyAlignment="1" applyProtection="1">
      <alignment vertical="center"/>
      <protection hidden="1"/>
    </xf>
    <xf numFmtId="6" fontId="49" fillId="0" borderId="0" xfId="0" applyNumberFormat="1" applyFont="1" applyAlignment="1">
      <alignment vertical="center"/>
    </xf>
    <xf numFmtId="43" fontId="49" fillId="0" borderId="0" xfId="1" applyFont="1" applyAlignment="1" applyProtection="1">
      <alignment vertical="center"/>
      <protection hidden="1"/>
    </xf>
    <xf numFmtId="0" fontId="48" fillId="0" borderId="0" xfId="0" applyNumberFormat="1" applyFont="1" applyFill="1" applyBorder="1" applyAlignment="1" applyProtection="1">
      <alignment vertical="center"/>
      <protection hidden="1"/>
    </xf>
    <xf numFmtId="0" fontId="48" fillId="0" borderId="0" xfId="0" applyNumberFormat="1" applyFont="1" applyFill="1" applyBorder="1" applyAlignment="1" applyProtection="1">
      <alignment vertical="center"/>
    </xf>
    <xf numFmtId="43" fontId="48" fillId="0" borderId="0" xfId="1" applyFont="1" applyFill="1" applyBorder="1" applyAlignment="1" applyProtection="1">
      <alignment vertical="center"/>
      <protection hidden="1"/>
    </xf>
    <xf numFmtId="0" fontId="42" fillId="0" borderId="0" xfId="0" applyNumberFormat="1" applyFont="1" applyAlignment="1">
      <alignment vertical="center"/>
    </xf>
    <xf numFmtId="0" fontId="5" fillId="0" borderId="11" xfId="0" applyNumberFormat="1" applyFont="1" applyFill="1" applyBorder="1" applyAlignment="1" applyProtection="1"/>
    <xf numFmtId="10" fontId="46" fillId="8" borderId="50" xfId="4" applyNumberFormat="1" applyFont="1" applyFill="1" applyBorder="1" applyAlignment="1" applyProtection="1">
      <alignment horizontal="center" vertical="center"/>
      <protection locked="0"/>
    </xf>
    <xf numFmtId="10" fontId="46" fillId="9" borderId="50" xfId="4" applyNumberFormat="1" applyFont="1" applyFill="1" applyBorder="1" applyAlignment="1" applyProtection="1">
      <alignment horizontal="center" vertical="center"/>
      <protection locked="0"/>
    </xf>
    <xf numFmtId="44" fontId="42" fillId="0" borderId="0" xfId="2" applyFont="1" applyAlignment="1" applyProtection="1">
      <alignment vertical="center"/>
      <protection hidden="1"/>
    </xf>
    <xf numFmtId="0" fontId="50" fillId="8" borderId="16" xfId="0" applyNumberFormat="1" applyFont="1" applyFill="1" applyBorder="1" applyAlignment="1" applyProtection="1">
      <alignment horizontal="right"/>
    </xf>
    <xf numFmtId="0" fontId="51" fillId="0" borderId="0" xfId="0" applyNumberFormat="1" applyFont="1" applyFill="1" applyBorder="1" applyAlignment="1" applyProtection="1">
      <alignment horizontal="right"/>
    </xf>
    <xf numFmtId="14" fontId="51" fillId="0" borderId="0" xfId="1" applyNumberFormat="1" applyFont="1" applyBorder="1" applyAlignment="1" applyProtection="1">
      <alignment horizontal="center"/>
    </xf>
    <xf numFmtId="0" fontId="56" fillId="0" borderId="0" xfId="0" applyNumberFormat="1" applyFont="1" applyFill="1" applyBorder="1" applyAlignment="1" applyProtection="1"/>
    <xf numFmtId="164" fontId="57" fillId="0" borderId="0" xfId="0" applyNumberFormat="1" applyFont="1" applyBorder="1" applyProtection="1"/>
    <xf numFmtId="2" fontId="0" fillId="0" borderId="0" xfId="0" applyNumberFormat="1" applyAlignment="1">
      <alignment vertical="center"/>
    </xf>
    <xf numFmtId="166" fontId="0" fillId="0" borderId="0" xfId="2" applyNumberFormat="1" applyFont="1" applyAlignment="1">
      <alignment vertical="center"/>
    </xf>
    <xf numFmtId="9" fontId="0" fillId="0" borderId="0" xfId="4" applyFont="1" applyAlignment="1">
      <alignment vertical="center"/>
    </xf>
    <xf numFmtId="0" fontId="1" fillId="0" borderId="0" xfId="0" applyFont="1" applyAlignment="1">
      <alignment vertical="center"/>
    </xf>
    <xf numFmtId="43" fontId="0" fillId="0" borderId="0" xfId="1" applyFont="1" applyAlignment="1">
      <alignment vertical="center"/>
    </xf>
    <xf numFmtId="6" fontId="0" fillId="0" borderId="0" xfId="2" applyNumberFormat="1" applyFont="1" applyAlignment="1">
      <alignment vertical="center"/>
    </xf>
    <xf numFmtId="169" fontId="0" fillId="0" borderId="0" xfId="4" applyNumberFormat="1" applyFont="1" applyAlignment="1">
      <alignment vertical="center"/>
    </xf>
    <xf numFmtId="0" fontId="1" fillId="0" borderId="0" xfId="0" applyFont="1" applyAlignment="1"/>
    <xf numFmtId="2" fontId="42" fillId="0" borderId="0" xfId="0" applyNumberFormat="1" applyFont="1" applyAlignment="1" applyProtection="1">
      <alignment vertical="center"/>
      <protection hidden="1"/>
    </xf>
    <xf numFmtId="9" fontId="42" fillId="0" borderId="0" xfId="4" applyFont="1" applyAlignment="1" applyProtection="1">
      <alignment vertical="center"/>
      <protection hidden="1"/>
    </xf>
    <xf numFmtId="9" fontId="42" fillId="0" borderId="0" xfId="0" applyNumberFormat="1" applyFont="1" applyAlignment="1" applyProtection="1">
      <alignment vertical="center"/>
      <protection hidden="1"/>
    </xf>
    <xf numFmtId="2" fontId="42" fillId="0" borderId="0" xfId="0" applyNumberFormat="1" applyFont="1" applyProtection="1">
      <protection hidden="1"/>
    </xf>
    <xf numFmtId="169" fontId="42" fillId="0" borderId="0" xfId="4" applyNumberFormat="1" applyFont="1" applyAlignment="1" applyProtection="1">
      <alignment vertical="center"/>
      <protection hidden="1"/>
    </xf>
    <xf numFmtId="9" fontId="0" fillId="0" borderId="0" xfId="4" applyFont="1"/>
    <xf numFmtId="169" fontId="0" fillId="0" borderId="0" xfId="4" applyNumberFormat="1" applyFont="1"/>
    <xf numFmtId="43" fontId="0" fillId="0" borderId="0" xfId="0" applyNumberFormat="1"/>
    <xf numFmtId="0" fontId="1" fillId="0" borderId="0" xfId="0" applyFont="1" applyAlignment="1">
      <alignment horizontal="left" vertical="center" wrapText="1"/>
    </xf>
    <xf numFmtId="0" fontId="42" fillId="0" borderId="0" xfId="0" applyFont="1"/>
    <xf numFmtId="0" fontId="42" fillId="0" borderId="0" xfId="0" applyFont="1" applyFill="1" applyProtection="1">
      <protection hidden="1"/>
    </xf>
    <xf numFmtId="44" fontId="42" fillId="0" borderId="0" xfId="2" applyFont="1" applyFill="1" applyProtection="1">
      <protection hidden="1"/>
    </xf>
    <xf numFmtId="44" fontId="42" fillId="0" borderId="0" xfId="0" applyNumberFormat="1" applyFont="1" applyFill="1" applyProtection="1">
      <protection hidden="1"/>
    </xf>
    <xf numFmtId="164" fontId="4" fillId="0" borderId="34" xfId="0" applyNumberFormat="1" applyFont="1" applyBorder="1" applyProtection="1">
      <protection hidden="1"/>
    </xf>
    <xf numFmtId="164" fontId="4" fillId="0" borderId="36" xfId="0" applyNumberFormat="1" applyFont="1" applyBorder="1" applyProtection="1">
      <protection hidden="1"/>
    </xf>
    <xf numFmtId="0" fontId="1" fillId="0" borderId="54" xfId="0" applyNumberFormat="1" applyFont="1" applyFill="1" applyBorder="1" applyAlignment="1" applyProtection="1">
      <alignment horizontal="right"/>
    </xf>
    <xf numFmtId="0" fontId="21" fillId="0" borderId="9" xfId="0" applyNumberFormat="1" applyFont="1" applyFill="1" applyBorder="1" applyAlignment="1" applyProtection="1">
      <alignment horizontal="right" vertical="center"/>
    </xf>
    <xf numFmtId="0" fontId="27" fillId="0" borderId="0" xfId="1" applyNumberFormat="1" applyFont="1" applyBorder="1" applyAlignment="1" applyProtection="1">
      <alignment horizontal="center"/>
      <protection hidden="1"/>
    </xf>
    <xf numFmtId="0" fontId="27" fillId="0" borderId="10" xfId="1" applyNumberFormat="1" applyFont="1" applyBorder="1" applyAlignment="1" applyProtection="1">
      <alignment horizontal="center"/>
      <protection hidden="1"/>
    </xf>
    <xf numFmtId="166" fontId="9" fillId="0" borderId="0" xfId="0" applyNumberFormat="1" applyFont="1" applyFill="1" applyBorder="1" applyAlignment="1" applyProtection="1">
      <protection hidden="1"/>
    </xf>
    <xf numFmtId="166" fontId="9" fillId="0" borderId="10" xfId="0" applyNumberFormat="1" applyFont="1" applyFill="1" applyBorder="1" applyAlignment="1" applyProtection="1">
      <protection hidden="1"/>
    </xf>
    <xf numFmtId="0" fontId="17" fillId="0" borderId="9" xfId="0" applyNumberFormat="1" applyFont="1" applyFill="1" applyBorder="1" applyAlignment="1" applyProtection="1">
      <alignment horizontal="center"/>
    </xf>
    <xf numFmtId="164" fontId="3" fillId="0" borderId="11" xfId="0" applyNumberFormat="1" applyFont="1" applyBorder="1" applyAlignment="1">
      <alignment horizontal="left"/>
    </xf>
    <xf numFmtId="166" fontId="9" fillId="0" borderId="13" xfId="0" applyNumberFormat="1" applyFont="1" applyFill="1" applyBorder="1" applyAlignment="1" applyProtection="1">
      <protection hidden="1"/>
    </xf>
    <xf numFmtId="0" fontId="0" fillId="0" borderId="0" xfId="2" applyNumberFormat="1" applyFont="1"/>
    <xf numFmtId="0" fontId="58" fillId="0" borderId="0" xfId="0" applyFont="1"/>
    <xf numFmtId="0" fontId="1" fillId="0" borderId="0" xfId="0" quotePrefix="1" applyFont="1"/>
    <xf numFmtId="171" fontId="0" fillId="0" borderId="0" xfId="1" applyNumberFormat="1" applyFont="1"/>
    <xf numFmtId="0" fontId="55" fillId="0" borderId="0" xfId="0" applyFont="1"/>
    <xf numFmtId="0" fontId="60" fillId="0" borderId="0" xfId="0" applyFont="1" applyAlignment="1"/>
    <xf numFmtId="0" fontId="42" fillId="0" borderId="0" xfId="0" applyFont="1" applyAlignment="1"/>
    <xf numFmtId="169" fontId="42" fillId="0" borderId="0" xfId="0" applyNumberFormat="1" applyFont="1" applyAlignment="1" applyProtection="1">
      <alignment vertical="center"/>
      <protection hidden="1"/>
    </xf>
    <xf numFmtId="0" fontId="47" fillId="9" borderId="66" xfId="0" applyNumberFormat="1" applyFont="1" applyFill="1" applyBorder="1" applyAlignment="1" applyProtection="1">
      <alignment horizontal="right"/>
      <protection locked="0"/>
    </xf>
    <xf numFmtId="0" fontId="47" fillId="8" borderId="66" xfId="0" applyNumberFormat="1" applyFont="1" applyFill="1" applyBorder="1" applyAlignment="1" applyProtection="1">
      <alignment horizontal="right"/>
      <protection locked="0"/>
    </xf>
    <xf numFmtId="0" fontId="47" fillId="9" borderId="51" xfId="0" applyNumberFormat="1" applyFont="1" applyFill="1" applyBorder="1" applyAlignment="1" applyProtection="1">
      <alignment horizontal="right"/>
      <protection locked="0"/>
    </xf>
    <xf numFmtId="0" fontId="47" fillId="8" borderId="51" xfId="0" applyNumberFormat="1" applyFont="1" applyFill="1" applyBorder="1" applyAlignment="1" applyProtection="1">
      <alignment horizontal="right"/>
      <protection locked="0"/>
    </xf>
    <xf numFmtId="0" fontId="47" fillId="8" borderId="50" xfId="0" applyNumberFormat="1" applyFont="1" applyFill="1" applyBorder="1" applyAlignment="1" applyProtection="1">
      <alignment horizontal="right"/>
      <protection locked="0"/>
    </xf>
    <xf numFmtId="0" fontId="1" fillId="0" borderId="0" xfId="0" applyFont="1" applyBorder="1" applyProtection="1">
      <protection hidden="1"/>
    </xf>
    <xf numFmtId="0" fontId="4" fillId="0" borderId="49" xfId="0" applyNumberFormat="1" applyFont="1" applyFill="1" applyBorder="1" applyAlignment="1" applyProtection="1"/>
    <xf numFmtId="0" fontId="4" fillId="0" borderId="10" xfId="0" applyNumberFormat="1" applyFont="1" applyFill="1" applyBorder="1" applyAlignment="1" applyProtection="1"/>
    <xf numFmtId="0" fontId="4" fillId="0" borderId="31" xfId="0" applyNumberFormat="1" applyFont="1" applyFill="1" applyBorder="1" applyAlignment="1" applyProtection="1"/>
    <xf numFmtId="0" fontId="4" fillId="0" borderId="32" xfId="0" applyNumberFormat="1" applyFont="1" applyFill="1" applyBorder="1" applyAlignment="1" applyProtection="1"/>
    <xf numFmtId="5" fontId="5" fillId="0" borderId="55" xfId="0" applyNumberFormat="1" applyFont="1" applyFill="1" applyBorder="1" applyAlignment="1" applyProtection="1">
      <alignment horizontal="right"/>
    </xf>
    <xf numFmtId="5" fontId="5" fillId="0" borderId="53" xfId="0" applyNumberFormat="1" applyFont="1" applyFill="1" applyBorder="1" applyAlignment="1" applyProtection="1">
      <alignment horizontal="right"/>
    </xf>
    <xf numFmtId="1" fontId="4" fillId="0" borderId="57" xfId="1" applyNumberFormat="1" applyFont="1" applyBorder="1" applyAlignment="1" applyProtection="1">
      <alignment horizontal="right"/>
      <protection hidden="1"/>
    </xf>
    <xf numFmtId="1" fontId="4" fillId="0" borderId="56" xfId="1" applyNumberFormat="1" applyFont="1" applyBorder="1" applyAlignment="1" applyProtection="1">
      <alignment horizontal="right"/>
      <protection hidden="1"/>
    </xf>
    <xf numFmtId="1" fontId="4" fillId="0" borderId="58" xfId="1" applyNumberFormat="1" applyFont="1" applyBorder="1" applyAlignment="1" applyProtection="1">
      <alignment horizontal="right"/>
      <protection hidden="1"/>
    </xf>
    <xf numFmtId="0" fontId="1" fillId="0" borderId="25" xfId="0" applyNumberFormat="1" applyFont="1" applyFill="1" applyBorder="1" applyAlignment="1" applyProtection="1">
      <alignment horizontal="right" vertical="top" wrapText="1"/>
    </xf>
    <xf numFmtId="0" fontId="55" fillId="0" borderId="0" xfId="0" applyNumberFormat="1" applyFont="1" applyFill="1" applyBorder="1" applyAlignment="1" applyProtection="1">
      <protection hidden="1"/>
    </xf>
    <xf numFmtId="164" fontId="42" fillId="0" borderId="0" xfId="0" applyNumberFormat="1" applyFont="1"/>
    <xf numFmtId="166" fontId="63" fillId="10" borderId="41" xfId="2" applyNumberFormat="1" applyFont="1" applyFill="1" applyBorder="1"/>
    <xf numFmtId="0" fontId="62" fillId="10" borderId="41" xfId="0" applyFont="1" applyFill="1" applyBorder="1"/>
    <xf numFmtId="0" fontId="62" fillId="11" borderId="41" xfId="0" applyFont="1" applyFill="1" applyBorder="1"/>
    <xf numFmtId="0" fontId="61" fillId="3" borderId="0" xfId="0" applyFont="1" applyFill="1" applyBorder="1" applyAlignment="1">
      <alignment vertical="center"/>
    </xf>
    <xf numFmtId="2" fontId="61" fillId="3" borderId="15" xfId="0" applyNumberFormat="1" applyFont="1" applyFill="1" applyBorder="1"/>
    <xf numFmtId="0" fontId="61" fillId="3" borderId="15" xfId="0" applyFont="1" applyFill="1" applyBorder="1"/>
    <xf numFmtId="0" fontId="62" fillId="10" borderId="16" xfId="0" applyFont="1" applyFill="1" applyBorder="1" applyAlignment="1">
      <alignment vertical="center"/>
    </xf>
    <xf numFmtId="2" fontId="62" fillId="10" borderId="42" xfId="0" applyNumberFormat="1" applyFont="1" applyFill="1" applyBorder="1"/>
    <xf numFmtId="0" fontId="62" fillId="10" borderId="42" xfId="0" applyFont="1" applyFill="1" applyBorder="1"/>
    <xf numFmtId="9" fontId="46" fillId="10" borderId="42" xfId="4" applyNumberFormat="1" applyFont="1" applyFill="1" applyBorder="1" applyAlignment="1">
      <alignment wrapText="1"/>
    </xf>
    <xf numFmtId="43" fontId="46" fillId="10" borderId="42" xfId="1" applyNumberFormat="1" applyFont="1" applyFill="1" applyBorder="1"/>
    <xf numFmtId="0" fontId="62" fillId="11" borderId="43" xfId="0" applyFont="1" applyFill="1" applyBorder="1" applyAlignment="1">
      <alignment vertical="center"/>
    </xf>
    <xf numFmtId="169" fontId="62" fillId="11" borderId="41" xfId="4" applyNumberFormat="1" applyFont="1" applyFill="1" applyBorder="1"/>
    <xf numFmtId="9" fontId="62" fillId="11" borderId="41" xfId="4" applyNumberFormat="1" applyFont="1" applyFill="1" applyBorder="1"/>
    <xf numFmtId="9" fontId="46" fillId="11" borderId="41" xfId="4" applyNumberFormat="1" applyFont="1" applyFill="1" applyBorder="1"/>
    <xf numFmtId="9" fontId="62" fillId="11" borderId="41" xfId="0" applyNumberFormat="1" applyFont="1" applyFill="1" applyBorder="1"/>
    <xf numFmtId="9" fontId="46" fillId="11" borderId="41" xfId="1" applyNumberFormat="1" applyFont="1" applyFill="1" applyBorder="1"/>
    <xf numFmtId="43" fontId="62" fillId="11" borderId="41" xfId="1" applyNumberFormat="1" applyFont="1" applyFill="1" applyBorder="1"/>
    <xf numFmtId="0" fontId="46" fillId="10" borderId="43" xfId="0" applyFont="1" applyFill="1" applyBorder="1" applyAlignment="1">
      <alignment vertical="center"/>
    </xf>
    <xf numFmtId="169" fontId="62" fillId="10" borderId="41" xfId="4" applyNumberFormat="1" applyFont="1" applyFill="1" applyBorder="1"/>
    <xf numFmtId="9" fontId="62" fillId="10" borderId="41" xfId="4" applyNumberFormat="1" applyFont="1" applyFill="1" applyBorder="1"/>
    <xf numFmtId="9" fontId="46" fillId="10" borderId="41" xfId="4" applyNumberFormat="1" applyFont="1" applyFill="1" applyBorder="1"/>
    <xf numFmtId="9" fontId="62" fillId="10" borderId="41" xfId="0" applyNumberFormat="1" applyFont="1" applyFill="1" applyBorder="1"/>
    <xf numFmtId="9" fontId="46" fillId="10" borderId="41" xfId="1" applyNumberFormat="1" applyFont="1" applyFill="1" applyBorder="1"/>
    <xf numFmtId="43" fontId="62" fillId="10" borderId="41" xfId="1" applyNumberFormat="1" applyFont="1" applyFill="1" applyBorder="1"/>
    <xf numFmtId="0" fontId="46" fillId="11" borderId="43" xfId="0" applyFont="1" applyFill="1" applyBorder="1" applyAlignment="1">
      <alignment vertical="center"/>
    </xf>
    <xf numFmtId="169" fontId="46" fillId="11" borderId="41" xfId="4" applyNumberFormat="1" applyFont="1" applyFill="1" applyBorder="1"/>
    <xf numFmtId="2" fontId="62" fillId="10" borderId="41" xfId="0" applyNumberFormat="1" applyFont="1" applyFill="1" applyBorder="1"/>
    <xf numFmtId="169" fontId="46" fillId="10" borderId="41" xfId="4" applyNumberFormat="1" applyFont="1" applyFill="1" applyBorder="1"/>
    <xf numFmtId="9" fontId="46" fillId="11" borderId="41" xfId="0" applyNumberFormat="1" applyFont="1" applyFill="1" applyBorder="1"/>
    <xf numFmtId="43" fontId="46" fillId="11" borderId="41" xfId="1" applyNumberFormat="1" applyFont="1" applyFill="1" applyBorder="1"/>
    <xf numFmtId="9" fontId="46" fillId="10" borderId="41" xfId="0" applyNumberFormat="1" applyFont="1" applyFill="1" applyBorder="1"/>
    <xf numFmtId="43" fontId="46" fillId="10" borderId="41" xfId="1" applyNumberFormat="1" applyFont="1" applyFill="1" applyBorder="1"/>
    <xf numFmtId="9" fontId="46" fillId="11" borderId="41" xfId="4" applyNumberFormat="1" applyFont="1" applyFill="1" applyBorder="1" applyAlignment="1">
      <alignment wrapText="1"/>
    </xf>
    <xf numFmtId="0" fontId="59" fillId="10" borderId="43" xfId="0" applyFont="1" applyFill="1" applyBorder="1" applyAlignment="1">
      <alignment vertical="center"/>
    </xf>
    <xf numFmtId="2" fontId="59" fillId="10" borderId="41" xfId="0" applyNumberFormat="1" applyFont="1" applyFill="1" applyBorder="1"/>
    <xf numFmtId="0" fontId="59" fillId="10" borderId="41" xfId="0" applyFont="1" applyFill="1" applyBorder="1"/>
    <xf numFmtId="9" fontId="59" fillId="10" borderId="41" xfId="4" applyNumberFormat="1" applyFont="1" applyFill="1" applyBorder="1"/>
    <xf numFmtId="43" fontId="59" fillId="10" borderId="41" xfId="1" applyNumberFormat="1" applyFont="1" applyFill="1" applyBorder="1"/>
    <xf numFmtId="169" fontId="59" fillId="10" borderId="41" xfId="4" applyNumberFormat="1" applyFont="1" applyFill="1" applyBorder="1"/>
    <xf numFmtId="9" fontId="59" fillId="10" borderId="41" xfId="0" applyNumberFormat="1" applyFont="1" applyFill="1" applyBorder="1"/>
    <xf numFmtId="0" fontId="62" fillId="11" borderId="43" xfId="0" applyFont="1" applyFill="1" applyBorder="1"/>
    <xf numFmtId="0" fontId="62" fillId="10" borderId="16" xfId="0" applyFont="1" applyFill="1" applyBorder="1"/>
    <xf numFmtId="0" fontId="62" fillId="10" borderId="43" xfId="0" applyFont="1" applyFill="1" applyBorder="1"/>
    <xf numFmtId="166" fontId="62" fillId="11" borderId="41" xfId="0" applyNumberFormat="1" applyFont="1" applyFill="1" applyBorder="1"/>
    <xf numFmtId="166" fontId="62" fillId="10" borderId="41" xfId="0" applyNumberFormat="1" applyFont="1" applyFill="1" applyBorder="1"/>
    <xf numFmtId="0" fontId="61" fillId="3" borderId="0" xfId="0" applyFont="1" applyFill="1" applyBorder="1"/>
    <xf numFmtId="166" fontId="61" fillId="3" borderId="15" xfId="2" applyNumberFormat="1" applyFont="1" applyFill="1" applyBorder="1"/>
    <xf numFmtId="166" fontId="62" fillId="10" borderId="42" xfId="2" applyNumberFormat="1" applyFont="1" applyFill="1" applyBorder="1"/>
    <xf numFmtId="166" fontId="62" fillId="11" borderId="41" xfId="2" applyNumberFormat="1" applyFont="1" applyFill="1" applyBorder="1"/>
    <xf numFmtId="5" fontId="62" fillId="10" borderId="43" xfId="0" applyNumberFormat="1" applyFont="1" applyFill="1" applyBorder="1"/>
    <xf numFmtId="166" fontId="62" fillId="10" borderId="41" xfId="2" applyNumberFormat="1" applyFont="1" applyFill="1" applyBorder="1"/>
    <xf numFmtId="166" fontId="63" fillId="11" borderId="41" xfId="2" applyNumberFormat="1" applyFont="1" applyFill="1" applyBorder="1"/>
    <xf numFmtId="0" fontId="49" fillId="0" borderId="0" xfId="0" applyFont="1" applyFill="1" applyBorder="1"/>
    <xf numFmtId="166" fontId="61" fillId="0" borderId="0" xfId="2" applyNumberFormat="1" applyFont="1" applyFill="1" applyBorder="1"/>
    <xf numFmtId="166" fontId="62" fillId="0" borderId="0" xfId="2" applyNumberFormat="1" applyFont="1" applyFill="1" applyBorder="1"/>
    <xf numFmtId="166" fontId="63" fillId="0" borderId="0" xfId="2" applyNumberFormat="1" applyFont="1" applyFill="1" applyBorder="1"/>
    <xf numFmtId="0" fontId="62" fillId="0" borderId="0" xfId="0" applyFont="1" applyFill="1" applyBorder="1"/>
    <xf numFmtId="166" fontId="62" fillId="0" borderId="0" xfId="0" applyNumberFormat="1" applyFont="1" applyFill="1" applyBorder="1"/>
    <xf numFmtId="0" fontId="62" fillId="10" borderId="0" xfId="0" applyFont="1" applyFill="1" applyBorder="1"/>
    <xf numFmtId="0" fontId="61" fillId="16" borderId="42" xfId="0" applyFont="1" applyFill="1" applyBorder="1"/>
    <xf numFmtId="0" fontId="61" fillId="16" borderId="42" xfId="0" applyNumberFormat="1" applyFont="1" applyFill="1" applyBorder="1"/>
    <xf numFmtId="0" fontId="49" fillId="16" borderId="0" xfId="0" applyFont="1" applyFill="1" applyBorder="1"/>
    <xf numFmtId="0" fontId="49" fillId="16" borderId="15" xfId="0" applyFont="1" applyFill="1" applyBorder="1"/>
    <xf numFmtId="0" fontId="46" fillId="17" borderId="16" xfId="0" applyNumberFormat="1" applyFont="1" applyFill="1" applyBorder="1" applyAlignment="1">
      <alignment horizontal="center"/>
    </xf>
    <xf numFmtId="164" fontId="46" fillId="17" borderId="42" xfId="0" applyNumberFormat="1" applyFont="1" applyFill="1" applyBorder="1" applyAlignment="1">
      <alignment horizontal="center"/>
    </xf>
    <xf numFmtId="1" fontId="62" fillId="17" borderId="42" xfId="0" applyNumberFormat="1" applyFont="1" applyFill="1" applyBorder="1"/>
    <xf numFmtId="0" fontId="62" fillId="17" borderId="42" xfId="0" applyFont="1" applyFill="1" applyBorder="1"/>
    <xf numFmtId="0" fontId="46" fillId="18" borderId="43" xfId="0" applyNumberFormat="1" applyFont="1" applyFill="1" applyBorder="1" applyAlignment="1">
      <alignment horizontal="center"/>
    </xf>
    <xf numFmtId="0" fontId="62" fillId="18" borderId="41" xfId="0" applyFont="1" applyFill="1" applyBorder="1" applyAlignment="1">
      <alignment horizontal="center"/>
    </xf>
    <xf numFmtId="1" fontId="62" fillId="18" borderId="41" xfId="0" applyNumberFormat="1" applyFont="1" applyFill="1" applyBorder="1"/>
    <xf numFmtId="0" fontId="62" fillId="18" borderId="41" xfId="0" applyFont="1" applyFill="1" applyBorder="1"/>
    <xf numFmtId="0" fontId="46" fillId="17" borderId="43" xfId="0" applyNumberFormat="1" applyFont="1" applyFill="1" applyBorder="1" applyAlignment="1">
      <alignment horizontal="center"/>
    </xf>
    <xf numFmtId="0" fontId="46" fillId="17" borderId="41" xfId="0" applyNumberFormat="1" applyFont="1" applyFill="1" applyBorder="1" applyAlignment="1">
      <alignment horizontal="center"/>
    </xf>
    <xf numFmtId="1" fontId="62" fillId="17" borderId="41" xfId="0" applyNumberFormat="1" applyFont="1" applyFill="1" applyBorder="1"/>
    <xf numFmtId="0" fontId="62" fillId="17" borderId="41" xfId="0" applyFont="1" applyFill="1" applyBorder="1"/>
    <xf numFmtId="0" fontId="46" fillId="18" borderId="41" xfId="0" applyNumberFormat="1" applyFont="1" applyFill="1" applyBorder="1" applyAlignment="1">
      <alignment horizontal="center"/>
    </xf>
    <xf numFmtId="0" fontId="49" fillId="16" borderId="32" xfId="0" applyNumberFormat="1" applyFont="1" applyFill="1" applyBorder="1" applyAlignment="1">
      <alignment horizontal="center"/>
    </xf>
    <xf numFmtId="0" fontId="49" fillId="16" borderId="68" xfId="0" applyNumberFormat="1" applyFont="1" applyFill="1" applyBorder="1" applyAlignment="1">
      <alignment horizontal="center"/>
    </xf>
    <xf numFmtId="0" fontId="61" fillId="16" borderId="68" xfId="0" applyNumberFormat="1" applyFont="1" applyFill="1" applyBorder="1"/>
    <xf numFmtId="164" fontId="46" fillId="17" borderId="16" xfId="0" applyNumberFormat="1" applyFont="1" applyFill="1" applyBorder="1" applyAlignment="1">
      <alignment horizontal="center"/>
    </xf>
    <xf numFmtId="0" fontId="46" fillId="18" borderId="43" xfId="0" applyFont="1" applyFill="1" applyBorder="1" applyAlignment="1">
      <alignment horizontal="center"/>
    </xf>
    <xf numFmtId="0" fontId="61" fillId="16" borderId="16" xfId="0" applyFont="1" applyFill="1" applyBorder="1"/>
    <xf numFmtId="0" fontId="61" fillId="16" borderId="15" xfId="0" applyFont="1" applyFill="1" applyBorder="1"/>
    <xf numFmtId="0" fontId="61" fillId="3" borderId="42" xfId="0" applyNumberFormat="1" applyFont="1" applyFill="1" applyBorder="1"/>
    <xf numFmtId="0" fontId="61" fillId="3" borderId="42" xfId="0" applyFont="1" applyFill="1" applyBorder="1"/>
    <xf numFmtId="0" fontId="46" fillId="10" borderId="16" xfId="0" applyNumberFormat="1" applyFont="1" applyFill="1" applyBorder="1" applyAlignment="1">
      <alignment horizontal="center"/>
    </xf>
    <xf numFmtId="164" fontId="46" fillId="10" borderId="42" xfId="0" applyNumberFormat="1" applyFont="1" applyFill="1" applyBorder="1" applyAlignment="1">
      <alignment horizontal="center"/>
    </xf>
    <xf numFmtId="1" fontId="62" fillId="10" borderId="42" xfId="0" applyNumberFormat="1" applyFont="1" applyFill="1" applyBorder="1"/>
    <xf numFmtId="0" fontId="46" fillId="11" borderId="43" xfId="0" applyNumberFormat="1" applyFont="1" applyFill="1" applyBorder="1" applyAlignment="1">
      <alignment horizontal="center"/>
    </xf>
    <xf numFmtId="0" fontId="62" fillId="11" borderId="41" xfId="0" applyFont="1" applyFill="1" applyBorder="1" applyAlignment="1">
      <alignment horizontal="center"/>
    </xf>
    <xf numFmtId="1" fontId="62" fillId="11" borderId="41" xfId="0" applyNumberFormat="1" applyFont="1" applyFill="1" applyBorder="1"/>
    <xf numFmtId="0" fontId="46" fillId="10" borderId="43" xfId="0" applyNumberFormat="1" applyFont="1" applyFill="1" applyBorder="1" applyAlignment="1">
      <alignment horizontal="center"/>
    </xf>
    <xf numFmtId="0" fontId="46" fillId="10" borderId="41" xfId="0" applyNumberFormat="1" applyFont="1" applyFill="1" applyBorder="1" applyAlignment="1">
      <alignment horizontal="center"/>
    </xf>
    <xf numFmtId="1" fontId="62" fillId="10" borderId="41" xfId="0" applyNumberFormat="1" applyFont="1" applyFill="1" applyBorder="1"/>
    <xf numFmtId="0" fontId="46" fillId="11" borderId="41" xfId="0" applyNumberFormat="1" applyFont="1" applyFill="1" applyBorder="1" applyAlignment="1">
      <alignment horizontal="center"/>
    </xf>
    <xf numFmtId="0" fontId="49" fillId="3" borderId="32" xfId="0" applyNumberFormat="1" applyFont="1" applyFill="1" applyBorder="1" applyAlignment="1">
      <alignment horizontal="center"/>
    </xf>
    <xf numFmtId="0" fontId="49" fillId="3" borderId="68" xfId="0" applyNumberFormat="1" applyFont="1" applyFill="1" applyBorder="1" applyAlignment="1">
      <alignment horizontal="center"/>
    </xf>
    <xf numFmtId="0" fontId="61" fillId="3" borderId="68" xfId="0" applyNumberFormat="1" applyFont="1" applyFill="1" applyBorder="1"/>
    <xf numFmtId="164" fontId="46" fillId="10" borderId="16" xfId="0" applyNumberFormat="1" applyFont="1" applyFill="1" applyBorder="1" applyAlignment="1">
      <alignment horizontal="center"/>
    </xf>
    <xf numFmtId="0" fontId="46" fillId="11" borderId="43" xfId="0" applyFont="1" applyFill="1" applyBorder="1" applyAlignment="1">
      <alignment horizontal="center"/>
    </xf>
    <xf numFmtId="0" fontId="61" fillId="3" borderId="16" xfId="0" applyFont="1" applyFill="1" applyBorder="1"/>
    <xf numFmtId="164" fontId="46" fillId="10" borderId="68" xfId="0" applyNumberFormat="1" applyFont="1" applyFill="1" applyBorder="1" applyAlignment="1">
      <alignment horizontal="center"/>
    </xf>
    <xf numFmtId="0" fontId="62" fillId="11" borderId="69" xfId="0" applyFont="1" applyFill="1" applyBorder="1" applyAlignment="1">
      <alignment horizontal="center"/>
    </xf>
    <xf numFmtId="0" fontId="46" fillId="10" borderId="69" xfId="0" applyNumberFormat="1" applyFont="1" applyFill="1" applyBorder="1" applyAlignment="1">
      <alignment horizontal="center"/>
    </xf>
    <xf numFmtId="0" fontId="46" fillId="11" borderId="69" xfId="0" applyNumberFormat="1" applyFont="1" applyFill="1" applyBorder="1" applyAlignment="1">
      <alignment horizontal="center"/>
    </xf>
    <xf numFmtId="164" fontId="46" fillId="10" borderId="31" xfId="0" applyNumberFormat="1" applyFont="1" applyFill="1" applyBorder="1" applyAlignment="1">
      <alignment horizontal="center"/>
    </xf>
    <xf numFmtId="0" fontId="62" fillId="10" borderId="68" xfId="0" applyFont="1" applyFill="1" applyBorder="1"/>
    <xf numFmtId="0" fontId="62" fillId="11" borderId="70" xfId="0" applyFont="1" applyFill="1" applyBorder="1" applyAlignment="1">
      <alignment horizontal="center"/>
    </xf>
    <xf numFmtId="0" fontId="62" fillId="11" borderId="69" xfId="0" applyFont="1" applyFill="1" applyBorder="1"/>
    <xf numFmtId="0" fontId="46" fillId="10" borderId="70" xfId="0" applyNumberFormat="1" applyFont="1" applyFill="1" applyBorder="1" applyAlignment="1">
      <alignment horizontal="center"/>
    </xf>
    <xf numFmtId="0" fontId="62" fillId="10" borderId="69" xfId="0" applyFont="1" applyFill="1" applyBorder="1"/>
    <xf numFmtId="0" fontId="46" fillId="11" borderId="70" xfId="0" applyNumberFormat="1" applyFont="1" applyFill="1" applyBorder="1" applyAlignment="1">
      <alignment horizontal="center"/>
    </xf>
    <xf numFmtId="0" fontId="62" fillId="11" borderId="71" xfId="0" applyFont="1" applyFill="1" applyBorder="1"/>
    <xf numFmtId="0" fontId="49" fillId="3" borderId="70" xfId="0" applyNumberFormat="1" applyFont="1" applyFill="1" applyBorder="1" applyAlignment="1">
      <alignment horizontal="center"/>
    </xf>
    <xf numFmtId="0" fontId="46" fillId="11" borderId="72" xfId="0" applyFont="1" applyFill="1" applyBorder="1" applyAlignment="1">
      <alignment horizontal="center"/>
    </xf>
    <xf numFmtId="0" fontId="46" fillId="10" borderId="72" xfId="0" applyNumberFormat="1" applyFont="1" applyFill="1" applyBorder="1" applyAlignment="1">
      <alignment horizontal="center"/>
    </xf>
    <xf numFmtId="0" fontId="46" fillId="11" borderId="72" xfId="0" applyNumberFormat="1" applyFont="1" applyFill="1" applyBorder="1" applyAlignment="1">
      <alignment horizontal="center"/>
    </xf>
    <xf numFmtId="0" fontId="49" fillId="3" borderId="9" xfId="0" applyNumberFormat="1" applyFont="1" applyFill="1" applyBorder="1" applyAlignment="1">
      <alignment horizontal="right" wrapText="1"/>
    </xf>
    <xf numFmtId="166" fontId="49" fillId="3" borderId="15" xfId="1" applyNumberFormat="1" applyFont="1" applyFill="1" applyBorder="1"/>
    <xf numFmtId="166" fontId="49" fillId="3" borderId="9" xfId="1" applyNumberFormat="1" applyFont="1" applyFill="1" applyBorder="1"/>
    <xf numFmtId="0" fontId="49" fillId="3" borderId="73" xfId="0" applyFont="1" applyFill="1" applyBorder="1"/>
    <xf numFmtId="5" fontId="46" fillId="10" borderId="68" xfId="0" applyNumberFormat="1" applyFont="1" applyFill="1" applyBorder="1" applyAlignment="1">
      <alignment horizontal="right" wrapText="1"/>
    </xf>
    <xf numFmtId="166" fontId="46" fillId="10" borderId="42" xfId="2" applyNumberFormat="1" applyFont="1" applyFill="1" applyBorder="1"/>
    <xf numFmtId="166" fontId="46" fillId="10" borderId="68" xfId="1" applyNumberFormat="1" applyFont="1" applyFill="1" applyBorder="1"/>
    <xf numFmtId="0" fontId="46" fillId="10" borderId="74" xfId="2" applyNumberFormat="1" applyFont="1" applyFill="1" applyBorder="1"/>
    <xf numFmtId="0" fontId="46" fillId="11" borderId="43" xfId="0" applyNumberFormat="1" applyFont="1" applyFill="1" applyBorder="1" applyAlignment="1">
      <alignment horizontal="right" wrapText="1"/>
    </xf>
    <xf numFmtId="166" fontId="46" fillId="11" borderId="41" xfId="1" applyNumberFormat="1" applyFont="1" applyFill="1" applyBorder="1"/>
    <xf numFmtId="166" fontId="46" fillId="11" borderId="69" xfId="1" applyNumberFormat="1" applyFont="1" applyFill="1" applyBorder="1"/>
    <xf numFmtId="166" fontId="46" fillId="11" borderId="41" xfId="2" applyNumberFormat="1" applyFont="1" applyFill="1" applyBorder="1"/>
    <xf numFmtId="0" fontId="46" fillId="11" borderId="75" xfId="2" applyNumberFormat="1" applyFont="1" applyFill="1" applyBorder="1"/>
    <xf numFmtId="0" fontId="46" fillId="10" borderId="43" xfId="0" applyNumberFormat="1" applyFont="1" applyFill="1" applyBorder="1" applyAlignment="1">
      <alignment horizontal="right" wrapText="1"/>
    </xf>
    <xf numFmtId="166" fontId="46" fillId="10" borderId="41" xfId="1" applyNumberFormat="1" applyFont="1" applyFill="1" applyBorder="1"/>
    <xf numFmtId="166" fontId="46" fillId="10" borderId="69" xfId="1" applyNumberFormat="1" applyFont="1" applyFill="1" applyBorder="1"/>
    <xf numFmtId="166" fontId="46" fillId="10" borderId="41" xfId="2" applyNumberFormat="1" applyFont="1" applyFill="1" applyBorder="1"/>
    <xf numFmtId="0" fontId="46" fillId="10" borderId="75" xfId="2" applyNumberFormat="1" applyFont="1" applyFill="1" applyBorder="1"/>
    <xf numFmtId="0" fontId="46" fillId="11" borderId="43" xfId="0" applyNumberFormat="1" applyFont="1" applyFill="1" applyBorder="1" applyAlignment="1">
      <alignment horizontal="right"/>
    </xf>
    <xf numFmtId="0" fontId="46" fillId="10" borderId="69" xfId="0" applyNumberFormat="1" applyFont="1" applyFill="1" applyBorder="1" applyAlignment="1">
      <alignment horizontal="right"/>
    </xf>
    <xf numFmtId="5" fontId="46" fillId="11" borderId="69" xfId="0" applyNumberFormat="1" applyFont="1" applyFill="1" applyBorder="1" applyAlignment="1">
      <alignment horizontal="right" wrapText="1"/>
    </xf>
    <xf numFmtId="0" fontId="46" fillId="10" borderId="43" xfId="0" applyNumberFormat="1" applyFont="1" applyFill="1" applyBorder="1" applyAlignment="1">
      <alignment horizontal="right"/>
    </xf>
    <xf numFmtId="5" fontId="46" fillId="11" borderId="43" xfId="0" applyNumberFormat="1" applyFont="1" applyFill="1" applyBorder="1" applyAlignment="1">
      <alignment horizontal="right" wrapText="1"/>
    </xf>
    <xf numFmtId="5" fontId="46" fillId="10" borderId="43" xfId="0" applyNumberFormat="1" applyFont="1" applyFill="1" applyBorder="1" applyAlignment="1">
      <alignment horizontal="right" wrapText="1"/>
    </xf>
    <xf numFmtId="166" fontId="46" fillId="10" borderId="41" xfId="0" applyNumberFormat="1" applyFont="1" applyFill="1" applyBorder="1"/>
    <xf numFmtId="0" fontId="46" fillId="10" borderId="75" xfId="0" applyNumberFormat="1" applyFont="1" applyFill="1" applyBorder="1"/>
    <xf numFmtId="166" fontId="46" fillId="11" borderId="41" xfId="0" applyNumberFormat="1" applyFont="1" applyFill="1" applyBorder="1"/>
    <xf numFmtId="0" fontId="46" fillId="11" borderId="75" xfId="0" applyNumberFormat="1" applyFont="1" applyFill="1" applyBorder="1"/>
    <xf numFmtId="5" fontId="46" fillId="10" borderId="69" xfId="0" applyNumberFormat="1" applyFont="1" applyFill="1" applyBorder="1" applyAlignment="1">
      <alignment horizontal="right" wrapText="1"/>
    </xf>
    <xf numFmtId="0" fontId="46" fillId="10" borderId="69" xfId="0" applyNumberFormat="1" applyFont="1" applyFill="1" applyBorder="1" applyAlignment="1">
      <alignment horizontal="right" wrapText="1"/>
    </xf>
    <xf numFmtId="0" fontId="46" fillId="11" borderId="69" xfId="0" applyNumberFormat="1" applyFont="1" applyFill="1" applyBorder="1" applyAlignment="1">
      <alignment horizontal="right" wrapText="1"/>
    </xf>
    <xf numFmtId="166" fontId="46" fillId="11" borderId="69" xfId="2" applyNumberFormat="1" applyFont="1" applyFill="1" applyBorder="1"/>
    <xf numFmtId="169" fontId="46" fillId="10" borderId="42" xfId="4" applyNumberFormat="1" applyFont="1" applyFill="1" applyBorder="1"/>
    <xf numFmtId="43" fontId="47" fillId="9" borderId="43" xfId="1" applyNumberFormat="1" applyFont="1" applyFill="1" applyBorder="1" applyProtection="1">
      <protection locked="0"/>
    </xf>
    <xf numFmtId="0" fontId="19" fillId="0" borderId="0" xfId="0" applyFont="1" applyBorder="1" applyAlignment="1" applyProtection="1">
      <alignment horizontal="left"/>
      <protection locked="0"/>
    </xf>
    <xf numFmtId="14" fontId="19" fillId="0" borderId="65" xfId="0" applyNumberFormat="1" applyFont="1" applyBorder="1" applyAlignment="1" applyProtection="1">
      <alignment horizontal="center"/>
      <protection locked="0"/>
    </xf>
    <xf numFmtId="43" fontId="47" fillId="8" borderId="42" xfId="2" applyNumberFormat="1" applyFont="1" applyFill="1" applyBorder="1" applyAlignment="1" applyProtection="1">
      <alignment vertical="center"/>
      <protection hidden="1"/>
    </xf>
    <xf numFmtId="43" fontId="47" fillId="9" borderId="41" xfId="2" applyNumberFormat="1" applyFont="1" applyFill="1" applyBorder="1" applyAlignment="1" applyProtection="1">
      <alignment vertical="center"/>
      <protection hidden="1"/>
    </xf>
    <xf numFmtId="43" fontId="47" fillId="8" borderId="41" xfId="2" applyNumberFormat="1" applyFont="1" applyFill="1" applyBorder="1" applyAlignment="1" applyProtection="1">
      <alignment vertical="center"/>
      <protection hidden="1"/>
    </xf>
    <xf numFmtId="43" fontId="1" fillId="8" borderId="42" xfId="0" applyNumberFormat="1" applyFont="1" applyFill="1" applyBorder="1" applyAlignment="1" applyProtection="1">
      <alignment vertical="center"/>
      <protection hidden="1"/>
    </xf>
    <xf numFmtId="43" fontId="46" fillId="8" borderId="42" xfId="2" applyNumberFormat="1" applyFont="1" applyFill="1" applyBorder="1" applyAlignment="1" applyProtection="1">
      <alignment vertical="center"/>
      <protection hidden="1"/>
    </xf>
    <xf numFmtId="43" fontId="1" fillId="9" borderId="41" xfId="0" applyNumberFormat="1" applyFont="1" applyFill="1" applyBorder="1" applyAlignment="1" applyProtection="1">
      <alignment vertical="center"/>
      <protection hidden="1"/>
    </xf>
    <xf numFmtId="43" fontId="46" fillId="9" borderId="41" xfId="2" applyNumberFormat="1" applyFont="1" applyFill="1" applyBorder="1" applyAlignment="1" applyProtection="1">
      <alignment vertical="center"/>
      <protection hidden="1"/>
    </xf>
    <xf numFmtId="43" fontId="1" fillId="8" borderId="41" xfId="0" applyNumberFormat="1" applyFont="1" applyFill="1" applyBorder="1" applyAlignment="1" applyProtection="1">
      <alignment vertical="center"/>
      <protection hidden="1"/>
    </xf>
    <xf numFmtId="43" fontId="46" fillId="8" borderId="41" xfId="2" applyNumberFormat="1" applyFont="1" applyFill="1" applyBorder="1" applyAlignment="1" applyProtection="1">
      <alignment vertical="center"/>
      <protection hidden="1"/>
    </xf>
    <xf numFmtId="166" fontId="1" fillId="8" borderId="42" xfId="0" applyNumberFormat="1" applyFont="1" applyFill="1" applyBorder="1" applyAlignment="1" applyProtection="1">
      <alignment vertical="center"/>
      <protection hidden="1"/>
    </xf>
    <xf numFmtId="166" fontId="1" fillId="9" borderId="41" xfId="0" applyNumberFormat="1" applyFont="1" applyFill="1" applyBorder="1" applyAlignment="1" applyProtection="1">
      <alignment vertical="center"/>
      <protection hidden="1"/>
    </xf>
    <xf numFmtId="166" fontId="1" fillId="8" borderId="41" xfId="0" applyNumberFormat="1" applyFont="1" applyFill="1" applyBorder="1" applyAlignment="1" applyProtection="1">
      <alignment vertical="center"/>
      <protection hidden="1"/>
    </xf>
    <xf numFmtId="166" fontId="5" fillId="0" borderId="0" xfId="0" applyNumberFormat="1" applyFont="1" applyAlignment="1" applyProtection="1">
      <alignment vertical="center"/>
      <protection hidden="1"/>
    </xf>
    <xf numFmtId="0" fontId="43" fillId="0" borderId="0" xfId="0" applyFont="1" applyAlignment="1">
      <alignment horizontal="right"/>
    </xf>
    <xf numFmtId="14" fontId="13" fillId="0" borderId="0" xfId="0" applyNumberFormat="1" applyFont="1" applyFill="1" applyBorder="1" applyAlignment="1" applyProtection="1"/>
    <xf numFmtId="172" fontId="47" fillId="8" borderId="42" xfId="4" applyNumberFormat="1" applyFont="1" applyFill="1" applyBorder="1" applyAlignment="1" applyProtection="1">
      <alignment vertical="center"/>
      <protection locked="0"/>
    </xf>
    <xf numFmtId="172" fontId="47" fillId="9" borderId="41" xfId="4" applyNumberFormat="1" applyFont="1" applyFill="1" applyBorder="1" applyAlignment="1" applyProtection="1">
      <alignment vertical="center"/>
      <protection locked="0"/>
    </xf>
    <xf numFmtId="172" fontId="47" fillId="8" borderId="41" xfId="4" applyNumberFormat="1" applyFont="1" applyFill="1" applyBorder="1" applyAlignment="1" applyProtection="1">
      <alignment vertical="center"/>
      <protection locked="0"/>
    </xf>
    <xf numFmtId="172" fontId="46" fillId="8" borderId="42" xfId="4" applyNumberFormat="1" applyFont="1" applyFill="1" applyBorder="1" applyAlignment="1" applyProtection="1">
      <alignment horizontal="center" vertical="center"/>
      <protection locked="0"/>
    </xf>
    <xf numFmtId="172" fontId="46" fillId="9" borderId="41" xfId="4" applyNumberFormat="1" applyFont="1" applyFill="1" applyBorder="1" applyAlignment="1" applyProtection="1">
      <alignment horizontal="center" vertical="center"/>
      <protection locked="0"/>
    </xf>
    <xf numFmtId="172" fontId="46" fillId="8" borderId="41" xfId="4" applyNumberFormat="1" applyFont="1" applyFill="1" applyBorder="1" applyAlignment="1" applyProtection="1">
      <alignment horizontal="center" vertical="center"/>
      <protection locked="0"/>
    </xf>
    <xf numFmtId="0" fontId="46" fillId="8" borderId="42" xfId="0" applyFont="1" applyFill="1" applyBorder="1" applyAlignment="1" applyProtection="1">
      <alignment vertical="center"/>
      <protection locked="0" hidden="1"/>
    </xf>
    <xf numFmtId="0" fontId="46" fillId="9" borderId="41" xfId="0" applyFont="1" applyFill="1" applyBorder="1" applyAlignment="1" applyProtection="1">
      <alignment vertical="center"/>
      <protection locked="0" hidden="1"/>
    </xf>
    <xf numFmtId="0" fontId="46" fillId="8" borderId="41" xfId="0" applyFont="1" applyFill="1" applyBorder="1" applyAlignment="1" applyProtection="1">
      <alignment vertical="center"/>
      <protection locked="0" hidden="1"/>
    </xf>
    <xf numFmtId="3" fontId="66" fillId="0" borderId="64" xfId="0" applyNumberFormat="1" applyFont="1" applyFill="1" applyBorder="1" applyAlignment="1" applyProtection="1">
      <alignment horizontal="right"/>
      <protection hidden="1"/>
    </xf>
    <xf numFmtId="3" fontId="66" fillId="19" borderId="77" xfId="0" applyNumberFormat="1" applyFont="1" applyFill="1" applyBorder="1" applyAlignment="1" applyProtection="1">
      <alignment horizontal="right"/>
      <protection hidden="1"/>
    </xf>
    <xf numFmtId="3" fontId="66" fillId="19" borderId="64" xfId="0" applyNumberFormat="1" applyFont="1" applyFill="1" applyBorder="1" applyAlignment="1" applyProtection="1">
      <alignment horizontal="right"/>
      <protection hidden="1"/>
    </xf>
    <xf numFmtId="0" fontId="68" fillId="0" borderId="0" xfId="0" applyFont="1" applyProtection="1"/>
    <xf numFmtId="0" fontId="0" fillId="0" borderId="0" xfId="0" applyProtection="1"/>
    <xf numFmtId="0" fontId="68" fillId="0" borderId="0" xfId="0" applyFont="1" applyAlignment="1" applyProtection="1">
      <alignment horizontal="center"/>
    </xf>
    <xf numFmtId="0" fontId="19" fillId="0" borderId="0" xfId="0" applyFont="1" applyAlignment="1" applyProtection="1">
      <alignment horizontal="center"/>
    </xf>
    <xf numFmtId="165" fontId="68" fillId="0" borderId="0" xfId="0" applyNumberFormat="1" applyFont="1" applyProtection="1"/>
    <xf numFmtId="0" fontId="68" fillId="0" borderId="0" xfId="0" applyFont="1" applyAlignment="1" applyProtection="1">
      <alignment vertical="center"/>
    </xf>
    <xf numFmtId="0" fontId="68" fillId="0" borderId="0" xfId="0" applyNumberFormat="1" applyFont="1" applyAlignment="1" applyProtection="1">
      <alignment horizontal="right"/>
    </xf>
    <xf numFmtId="3" fontId="66" fillId="0" borderId="64" xfId="0" applyNumberFormat="1" applyFont="1" applyFill="1" applyBorder="1" applyAlignment="1" applyProtection="1">
      <alignment horizontal="right"/>
    </xf>
    <xf numFmtId="0" fontId="68" fillId="0" borderId="0" xfId="0" applyFont="1" applyAlignment="1" applyProtection="1">
      <alignment horizontal="left"/>
    </xf>
    <xf numFmtId="0" fontId="67" fillId="0" borderId="0" xfId="0" quotePrefix="1" applyNumberFormat="1" applyFont="1" applyAlignment="1" applyProtection="1">
      <alignment horizontal="right"/>
    </xf>
    <xf numFmtId="0" fontId="67" fillId="0" borderId="0" xfId="0" quotePrefix="1" applyNumberFormat="1" applyFont="1" applyAlignment="1" applyProtection="1">
      <alignment horizontal="left"/>
    </xf>
    <xf numFmtId="0" fontId="68" fillId="0" borderId="0" xfId="0" applyFont="1" applyBorder="1" applyAlignment="1" applyProtection="1">
      <alignment vertical="center"/>
    </xf>
    <xf numFmtId="0" fontId="68" fillId="0" borderId="0" xfId="0" applyNumberFormat="1" applyFont="1" applyBorder="1" applyAlignment="1" applyProtection="1">
      <alignment horizontal="right"/>
    </xf>
    <xf numFmtId="0" fontId="67" fillId="0" borderId="0" xfId="0" quotePrefix="1" applyNumberFormat="1" applyFont="1" applyBorder="1" applyAlignment="1" applyProtection="1">
      <alignment horizontal="right"/>
    </xf>
    <xf numFmtId="3" fontId="66" fillId="0" borderId="76" xfId="0" applyNumberFormat="1" applyFont="1" applyFill="1" applyBorder="1" applyAlignment="1" applyProtection="1">
      <alignment horizontal="right"/>
    </xf>
    <xf numFmtId="0" fontId="67" fillId="0" borderId="0" xfId="0" quotePrefix="1" applyNumberFormat="1" applyFont="1" applyBorder="1" applyAlignment="1" applyProtection="1">
      <alignment horizontal="left"/>
    </xf>
    <xf numFmtId="0" fontId="67" fillId="0" borderId="0" xfId="0" applyFont="1" applyBorder="1" applyAlignment="1" applyProtection="1">
      <alignment vertical="center"/>
    </xf>
    <xf numFmtId="3" fontId="66" fillId="19" borderId="64" xfId="0" applyNumberFormat="1" applyFont="1" applyFill="1" applyBorder="1" applyAlignment="1" applyProtection="1">
      <alignment horizontal="right"/>
    </xf>
    <xf numFmtId="0" fontId="67" fillId="0" borderId="0" xfId="0" applyNumberFormat="1" applyFont="1" applyFill="1" applyBorder="1" applyAlignment="1" applyProtection="1">
      <alignment horizontal="left"/>
    </xf>
    <xf numFmtId="3" fontId="66" fillId="0" borderId="0" xfId="0" applyNumberFormat="1" applyFont="1" applyAlignment="1" applyProtection="1">
      <alignment horizontal="right"/>
    </xf>
    <xf numFmtId="3" fontId="66" fillId="0" borderId="77" xfId="0" applyNumberFormat="1" applyFont="1" applyFill="1" applyBorder="1" applyAlignment="1" applyProtection="1">
      <alignment horizontal="right"/>
    </xf>
    <xf numFmtId="3" fontId="66" fillId="19" borderId="77" xfId="0" applyNumberFormat="1" applyFont="1" applyFill="1" applyBorder="1" applyAlignment="1" applyProtection="1">
      <alignment horizontal="right"/>
    </xf>
    <xf numFmtId="3" fontId="67" fillId="19" borderId="64" xfId="0" applyNumberFormat="1" applyFont="1" applyFill="1" applyBorder="1" applyAlignment="1" applyProtection="1">
      <alignment horizontal="right"/>
    </xf>
    <xf numFmtId="3" fontId="68" fillId="0" borderId="0" xfId="0" applyNumberFormat="1" applyFont="1" applyAlignment="1" applyProtection="1">
      <alignment horizontal="right"/>
    </xf>
    <xf numFmtId="0" fontId="67" fillId="0" borderId="0" xfId="0" applyFont="1" applyAlignment="1" applyProtection="1">
      <alignment vertical="center"/>
    </xf>
    <xf numFmtId="3" fontId="66" fillId="7" borderId="0" xfId="0" applyNumberFormat="1" applyFont="1" applyFill="1" applyAlignment="1" applyProtection="1">
      <alignment horizontal="right"/>
    </xf>
    <xf numFmtId="3" fontId="66" fillId="0" borderId="77" xfId="0" applyNumberFormat="1" applyFont="1" applyBorder="1" applyAlignment="1" applyProtection="1">
      <alignment horizontal="right"/>
    </xf>
    <xf numFmtId="3" fontId="66" fillId="0" borderId="64" xfId="0" applyNumberFormat="1" applyFont="1" applyBorder="1" applyAlignment="1" applyProtection="1">
      <alignment horizontal="right"/>
    </xf>
    <xf numFmtId="3" fontId="67" fillId="19" borderId="13" xfId="0" applyNumberFormat="1" applyFont="1" applyFill="1" applyBorder="1" applyAlignment="1" applyProtection="1">
      <alignment horizontal="right"/>
    </xf>
    <xf numFmtId="3" fontId="68" fillId="0" borderId="0" xfId="0" applyNumberFormat="1" applyFont="1" applyBorder="1" applyAlignment="1" applyProtection="1">
      <alignment horizontal="right"/>
    </xf>
    <xf numFmtId="0" fontId="67" fillId="0" borderId="0" xfId="0" applyFont="1" applyAlignment="1" applyProtection="1">
      <alignment horizontal="left"/>
    </xf>
    <xf numFmtId="0" fontId="68" fillId="0" borderId="0" xfId="0" applyFont="1" applyAlignment="1" applyProtection="1">
      <alignment horizontal="center" vertical="center"/>
    </xf>
    <xf numFmtId="0" fontId="68" fillId="0" borderId="0" xfId="0" quotePrefix="1" applyFont="1" applyAlignment="1" applyProtection="1">
      <alignment horizontal="center" vertical="center"/>
    </xf>
    <xf numFmtId="3" fontId="67" fillId="0" borderId="0" xfId="0" applyNumberFormat="1" applyFont="1" applyAlignment="1" applyProtection="1">
      <alignment horizontal="right"/>
    </xf>
    <xf numFmtId="170" fontId="68" fillId="0" borderId="64" xfId="1" applyNumberFormat="1" applyFont="1" applyFill="1" applyBorder="1" applyAlignment="1" applyProtection="1">
      <alignment vertical="center"/>
    </xf>
    <xf numFmtId="3" fontId="66" fillId="0" borderId="64" xfId="0" applyNumberFormat="1" applyFont="1" applyFill="1" applyBorder="1" applyAlignment="1" applyProtection="1">
      <alignment horizontal="center"/>
    </xf>
    <xf numFmtId="3" fontId="66" fillId="0" borderId="5" xfId="0" applyNumberFormat="1" applyFont="1" applyFill="1" applyBorder="1" applyAlignment="1" applyProtection="1">
      <alignment horizontal="right"/>
    </xf>
    <xf numFmtId="3" fontId="66" fillId="0" borderId="8" xfId="0" applyNumberFormat="1" applyFont="1" applyFill="1" applyBorder="1" applyAlignment="1" applyProtection="1">
      <alignment horizontal="center"/>
    </xf>
    <xf numFmtId="0" fontId="67" fillId="0" borderId="0" xfId="0" applyNumberFormat="1" applyFont="1" applyAlignment="1" applyProtection="1">
      <alignment horizontal="right"/>
    </xf>
    <xf numFmtId="0" fontId="67" fillId="0" borderId="0" xfId="0" applyNumberFormat="1" applyFont="1" applyAlignment="1" applyProtection="1">
      <alignment horizontal="left"/>
    </xf>
    <xf numFmtId="3" fontId="66" fillId="0" borderId="2" xfId="0" applyNumberFormat="1" applyFont="1" applyBorder="1" applyAlignment="1" applyProtection="1">
      <alignment horizontal="right"/>
    </xf>
    <xf numFmtId="0" fontId="67" fillId="0" borderId="0" xfId="0" applyNumberFormat="1" applyFont="1" applyBorder="1" applyAlignment="1" applyProtection="1">
      <alignment horizontal="right"/>
    </xf>
    <xf numFmtId="3" fontId="67" fillId="0" borderId="2" xfId="0" applyNumberFormat="1" applyFont="1" applyBorder="1" applyAlignment="1" applyProtection="1">
      <alignment horizontal="right"/>
    </xf>
    <xf numFmtId="3" fontId="67" fillId="19" borderId="78" xfId="0" applyNumberFormat="1" applyFont="1" applyFill="1" applyBorder="1" applyAlignment="1" applyProtection="1">
      <alignment horizontal="right"/>
    </xf>
    <xf numFmtId="0" fontId="65" fillId="0" borderId="0" xfId="0" applyFont="1" applyProtection="1"/>
    <xf numFmtId="0" fontId="68" fillId="0" borderId="0" xfId="0" applyFont="1" applyProtection="1">
      <protection hidden="1"/>
    </xf>
    <xf numFmtId="0" fontId="68" fillId="0" borderId="0" xfId="0" applyFont="1" applyAlignment="1" applyProtection="1">
      <alignment horizontal="center"/>
      <protection hidden="1"/>
    </xf>
    <xf numFmtId="0" fontId="19" fillId="0" borderId="0" xfId="0" applyFont="1" applyAlignment="1" applyProtection="1">
      <alignment horizontal="center"/>
      <protection hidden="1"/>
    </xf>
    <xf numFmtId="165" fontId="68" fillId="0" borderId="0" xfId="0" applyNumberFormat="1" applyFont="1" applyProtection="1">
      <protection hidden="1"/>
    </xf>
    <xf numFmtId="0" fontId="0" fillId="0" borderId="33" xfId="0" applyBorder="1" applyProtection="1">
      <protection hidden="1"/>
    </xf>
    <xf numFmtId="0" fontId="68" fillId="0" borderId="25" xfId="0" applyFont="1" applyBorder="1" applyProtection="1">
      <protection hidden="1"/>
    </xf>
    <xf numFmtId="0" fontId="68" fillId="0" borderId="0" xfId="0" applyFont="1" applyBorder="1" applyProtection="1">
      <protection hidden="1"/>
    </xf>
    <xf numFmtId="0" fontId="68" fillId="0" borderId="0" xfId="0" applyFont="1" applyAlignment="1" applyProtection="1">
      <alignment vertical="center"/>
      <protection hidden="1"/>
    </xf>
    <xf numFmtId="0" fontId="68" fillId="0" borderId="0" xfId="0" applyNumberFormat="1" applyFont="1" applyAlignment="1" applyProtection="1">
      <alignment horizontal="right"/>
      <protection hidden="1"/>
    </xf>
    <xf numFmtId="0" fontId="68" fillId="0" borderId="0" xfId="0" applyFont="1" applyAlignment="1" applyProtection="1">
      <alignment horizontal="left"/>
      <protection hidden="1"/>
    </xf>
    <xf numFmtId="0" fontId="67" fillId="0" borderId="0" xfId="0" quotePrefix="1" applyNumberFormat="1" applyFont="1" applyAlignment="1" applyProtection="1">
      <alignment horizontal="right"/>
      <protection hidden="1"/>
    </xf>
    <xf numFmtId="0" fontId="67" fillId="0" borderId="0" xfId="0" quotePrefix="1" applyNumberFormat="1" applyFont="1" applyAlignment="1" applyProtection="1">
      <alignment horizontal="left"/>
      <protection hidden="1"/>
    </xf>
    <xf numFmtId="0" fontId="68" fillId="0" borderId="0" xfId="0" applyFont="1" applyBorder="1" applyAlignment="1" applyProtection="1">
      <alignment vertical="center"/>
      <protection hidden="1"/>
    </xf>
    <xf numFmtId="0" fontId="68" fillId="0" borderId="0" xfId="0" applyNumberFormat="1" applyFont="1" applyBorder="1" applyAlignment="1" applyProtection="1">
      <alignment horizontal="right"/>
      <protection hidden="1"/>
    </xf>
    <xf numFmtId="0" fontId="67" fillId="0" borderId="0" xfId="0" quotePrefix="1" applyNumberFormat="1" applyFont="1" applyBorder="1" applyAlignment="1" applyProtection="1">
      <alignment horizontal="right"/>
      <protection hidden="1"/>
    </xf>
    <xf numFmtId="0" fontId="67" fillId="0" borderId="0" xfId="0" quotePrefix="1" applyNumberFormat="1" applyFont="1" applyBorder="1" applyAlignment="1" applyProtection="1">
      <alignment horizontal="left"/>
      <protection hidden="1"/>
    </xf>
    <xf numFmtId="166" fontId="68" fillId="0" borderId="0" xfId="2" applyNumberFormat="1" applyFont="1" applyBorder="1" applyProtection="1">
      <protection hidden="1"/>
    </xf>
    <xf numFmtId="0" fontId="67" fillId="0" borderId="0" xfId="0" applyFont="1" applyBorder="1" applyAlignment="1" applyProtection="1">
      <alignment vertical="center"/>
      <protection hidden="1"/>
    </xf>
    <xf numFmtId="3" fontId="66" fillId="19" borderId="79" xfId="0" applyNumberFormat="1" applyFont="1" applyFill="1" applyBorder="1" applyAlignment="1" applyProtection="1">
      <alignment horizontal="right"/>
      <protection hidden="1"/>
    </xf>
    <xf numFmtId="0" fontId="67" fillId="0" borderId="0" xfId="0" applyNumberFormat="1" applyFont="1" applyFill="1" applyBorder="1" applyAlignment="1" applyProtection="1">
      <alignment horizontal="left"/>
      <protection hidden="1"/>
    </xf>
    <xf numFmtId="3" fontId="66" fillId="0" borderId="0" xfId="0" applyNumberFormat="1" applyFont="1" applyAlignment="1" applyProtection="1">
      <alignment horizontal="right"/>
      <protection hidden="1"/>
    </xf>
    <xf numFmtId="3" fontId="67" fillId="19" borderId="79" xfId="0" applyNumberFormat="1" applyFont="1" applyFill="1" applyBorder="1" applyAlignment="1" applyProtection="1">
      <alignment horizontal="right"/>
      <protection hidden="1"/>
    </xf>
    <xf numFmtId="3" fontId="68" fillId="0" borderId="0" xfId="0" applyNumberFormat="1" applyFont="1" applyAlignment="1" applyProtection="1">
      <alignment horizontal="right"/>
      <protection hidden="1"/>
    </xf>
    <xf numFmtId="0" fontId="67" fillId="0" borderId="0" xfId="0" applyFont="1" applyAlignment="1" applyProtection="1">
      <alignment vertical="center"/>
      <protection hidden="1"/>
    </xf>
    <xf numFmtId="3" fontId="66" fillId="7" borderId="0" xfId="0" applyNumberFormat="1" applyFont="1" applyFill="1" applyAlignment="1" applyProtection="1">
      <alignment horizontal="right"/>
      <protection hidden="1"/>
    </xf>
    <xf numFmtId="0" fontId="0" fillId="0" borderId="29" xfId="0" applyBorder="1" applyProtection="1">
      <protection hidden="1"/>
    </xf>
    <xf numFmtId="3" fontId="68" fillId="0" borderId="0" xfId="0" applyNumberFormat="1" applyFont="1" applyBorder="1" applyAlignment="1" applyProtection="1">
      <alignment horizontal="right"/>
      <protection hidden="1"/>
    </xf>
    <xf numFmtId="0" fontId="67" fillId="0" borderId="0" xfId="0" applyFont="1" applyAlignment="1" applyProtection="1">
      <alignment horizontal="left"/>
      <protection hidden="1"/>
    </xf>
    <xf numFmtId="0" fontId="68" fillId="0" borderId="0" xfId="0" applyFont="1" applyAlignment="1" applyProtection="1">
      <alignment horizontal="center" vertical="center"/>
      <protection hidden="1"/>
    </xf>
    <xf numFmtId="0" fontId="68" fillId="0" borderId="0" xfId="0" quotePrefix="1" applyFont="1" applyAlignment="1" applyProtection="1">
      <alignment horizontal="center" vertical="center"/>
      <protection hidden="1"/>
    </xf>
    <xf numFmtId="3" fontId="67" fillId="0" borderId="0" xfId="0" applyNumberFormat="1" applyFont="1" applyAlignment="1" applyProtection="1">
      <alignment horizontal="right"/>
      <protection hidden="1"/>
    </xf>
    <xf numFmtId="170" fontId="68" fillId="0" borderId="0" xfId="0" applyNumberFormat="1" applyFont="1" applyProtection="1">
      <protection hidden="1"/>
    </xf>
    <xf numFmtId="3" fontId="66" fillId="0" borderId="5" xfId="0" applyNumberFormat="1" applyFont="1" applyFill="1" applyBorder="1" applyAlignment="1" applyProtection="1">
      <alignment horizontal="right"/>
      <protection hidden="1"/>
    </xf>
    <xf numFmtId="0" fontId="67" fillId="0" borderId="0" xfId="0" applyNumberFormat="1" applyFont="1" applyAlignment="1" applyProtection="1">
      <alignment horizontal="left"/>
      <protection hidden="1"/>
    </xf>
    <xf numFmtId="3" fontId="66" fillId="0" borderId="0" xfId="0" applyNumberFormat="1" applyFont="1" applyBorder="1" applyAlignment="1" applyProtection="1">
      <alignment horizontal="right"/>
      <protection hidden="1"/>
    </xf>
    <xf numFmtId="3" fontId="67" fillId="0" borderId="4" xfId="0" applyNumberFormat="1" applyFont="1" applyBorder="1" applyAlignment="1" applyProtection="1">
      <alignment horizontal="right"/>
      <protection hidden="1"/>
    </xf>
    <xf numFmtId="170" fontId="0" fillId="0" borderId="0" xfId="0" applyNumberFormat="1" applyProtection="1">
      <protection hidden="1"/>
    </xf>
    <xf numFmtId="0" fontId="65" fillId="0" borderId="0" xfId="0" applyFont="1" applyProtection="1">
      <protection hidden="1"/>
    </xf>
    <xf numFmtId="0" fontId="67" fillId="0" borderId="0" xfId="0" applyNumberFormat="1" applyFont="1" applyBorder="1" applyAlignment="1" applyProtection="1">
      <alignment horizontal="right"/>
      <protection hidden="1"/>
    </xf>
    <xf numFmtId="0" fontId="67" fillId="0" borderId="0" xfId="0" applyNumberFormat="1" applyFont="1" applyAlignment="1" applyProtection="1">
      <alignment horizontal="right"/>
      <protection hidden="1"/>
    </xf>
    <xf numFmtId="0" fontId="72" fillId="3" borderId="0" xfId="0" applyFont="1" applyFill="1" applyBorder="1"/>
    <xf numFmtId="0" fontId="72" fillId="3" borderId="15" xfId="0" applyFont="1" applyFill="1" applyBorder="1"/>
    <xf numFmtId="0" fontId="71" fillId="10" borderId="16" xfId="0" applyFont="1" applyFill="1" applyBorder="1"/>
    <xf numFmtId="0" fontId="71" fillId="10" borderId="42" xfId="0" applyFont="1" applyFill="1" applyBorder="1"/>
    <xf numFmtId="5" fontId="46" fillId="11" borderId="71" xfId="0" applyNumberFormat="1" applyFont="1" applyFill="1" applyBorder="1" applyAlignment="1">
      <alignment horizontal="right" wrapText="1"/>
    </xf>
    <xf numFmtId="0" fontId="71" fillId="11" borderId="41" xfId="0" applyFont="1" applyFill="1" applyBorder="1"/>
    <xf numFmtId="0" fontId="46" fillId="10" borderId="71" xfId="0" applyNumberFormat="1" applyFont="1" applyFill="1" applyBorder="1" applyAlignment="1">
      <alignment horizontal="right"/>
    </xf>
    <xf numFmtId="5" fontId="46" fillId="10" borderId="71" xfId="0" applyNumberFormat="1" applyFont="1" applyFill="1" applyBorder="1" applyAlignment="1">
      <alignment horizontal="right" wrapText="1"/>
    </xf>
    <xf numFmtId="0" fontId="46" fillId="11" borderId="71" xfId="0" applyNumberFormat="1" applyFont="1" applyFill="1" applyBorder="1" applyAlignment="1">
      <alignment horizontal="right"/>
    </xf>
    <xf numFmtId="0" fontId="71" fillId="10" borderId="71" xfId="0" applyNumberFormat="1" applyFont="1" applyFill="1" applyBorder="1" applyAlignment="1">
      <alignment horizontal="right" wrapText="1"/>
    </xf>
    <xf numFmtId="0" fontId="71" fillId="11" borderId="71" xfId="0" applyNumberFormat="1" applyFont="1" applyFill="1" applyBorder="1" applyAlignment="1">
      <alignment horizontal="right" wrapText="1"/>
    </xf>
    <xf numFmtId="5" fontId="71" fillId="10" borderId="71" xfId="0" applyNumberFormat="1" applyFont="1" applyFill="1" applyBorder="1" applyAlignment="1">
      <alignment horizontal="right" wrapText="1"/>
    </xf>
    <xf numFmtId="0" fontId="46" fillId="11" borderId="71" xfId="0" applyNumberFormat="1" applyFont="1" applyFill="1" applyBorder="1" applyAlignment="1">
      <alignment horizontal="right" wrapText="1"/>
    </xf>
    <xf numFmtId="43" fontId="46" fillId="10" borderId="71" xfId="1" applyNumberFormat="1" applyFont="1" applyFill="1" applyBorder="1" applyAlignment="1">
      <alignment horizontal="right" wrapText="1"/>
    </xf>
    <xf numFmtId="3" fontId="66" fillId="19" borderId="80" xfId="0" applyNumberFormat="1" applyFont="1" applyFill="1" applyBorder="1" applyAlignment="1" applyProtection="1">
      <alignment horizontal="right"/>
      <protection hidden="1"/>
    </xf>
    <xf numFmtId="3" fontId="66" fillId="19" borderId="13" xfId="0" applyNumberFormat="1" applyFont="1" applyFill="1" applyBorder="1" applyAlignment="1" applyProtection="1">
      <alignment horizontal="right"/>
      <protection hidden="1"/>
    </xf>
    <xf numFmtId="3" fontId="66" fillId="19" borderId="8" xfId="0" applyNumberFormat="1" applyFont="1" applyFill="1" applyBorder="1" applyAlignment="1" applyProtection="1">
      <alignment horizontal="right"/>
      <protection hidden="1"/>
    </xf>
    <xf numFmtId="3" fontId="68" fillId="0" borderId="0" xfId="0" quotePrefix="1" applyNumberFormat="1" applyFont="1" applyBorder="1" applyAlignment="1" applyProtection="1">
      <alignment horizontal="center"/>
      <protection hidden="1"/>
    </xf>
    <xf numFmtId="3" fontId="66" fillId="0" borderId="0" xfId="0" applyNumberFormat="1" applyFont="1" applyFill="1" applyBorder="1" applyAlignment="1" applyProtection="1">
      <alignment horizontal="center"/>
      <protection hidden="1"/>
    </xf>
    <xf numFmtId="3" fontId="67" fillId="19" borderId="81" xfId="0" applyNumberFormat="1" applyFont="1" applyFill="1" applyBorder="1" applyAlignment="1" applyProtection="1">
      <alignment horizontal="right"/>
      <protection hidden="1"/>
    </xf>
    <xf numFmtId="3" fontId="66" fillId="0" borderId="79" xfId="0" applyNumberFormat="1" applyFont="1" applyFill="1" applyBorder="1" applyAlignment="1" applyProtection="1">
      <alignment horizontal="right"/>
      <protection locked="0"/>
    </xf>
    <xf numFmtId="3" fontId="66" fillId="0" borderId="79" xfId="0" applyNumberFormat="1" applyFont="1" applyFill="1" applyBorder="1" applyAlignment="1" applyProtection="1">
      <alignment horizontal="center"/>
      <protection locked="0"/>
    </xf>
    <xf numFmtId="166" fontId="68" fillId="0" borderId="79" xfId="2" applyNumberFormat="1" applyFont="1" applyFill="1" applyBorder="1" applyProtection="1">
      <protection locked="0"/>
    </xf>
    <xf numFmtId="166" fontId="66" fillId="19" borderId="0" xfId="2" applyNumberFormat="1" applyFont="1" applyFill="1" applyBorder="1" applyAlignment="1" applyProtection="1">
      <alignment horizontal="right"/>
      <protection hidden="1"/>
    </xf>
    <xf numFmtId="3" fontId="73" fillId="19" borderId="78" xfId="0" applyNumberFormat="1" applyFont="1" applyFill="1" applyBorder="1" applyAlignment="1" applyProtection="1">
      <alignment horizontal="right"/>
      <protection hidden="1"/>
    </xf>
    <xf numFmtId="43" fontId="1" fillId="0" borderId="25" xfId="1" applyFont="1" applyBorder="1" applyAlignment="1" applyProtection="1">
      <alignment horizontal="right"/>
      <protection locked="0"/>
    </xf>
    <xf numFmtId="0" fontId="1" fillId="0" borderId="9" xfId="0" applyNumberFormat="1" applyFont="1" applyFill="1" applyBorder="1" applyAlignment="1" applyProtection="1">
      <alignment horizontal="right" wrapText="1"/>
      <protection hidden="1"/>
    </xf>
    <xf numFmtId="0" fontId="1" fillId="0" borderId="9" xfId="0" applyNumberFormat="1" applyFont="1" applyFill="1" applyBorder="1" applyAlignment="1" applyProtection="1">
      <alignment horizontal="right"/>
      <protection hidden="1"/>
    </xf>
    <xf numFmtId="43" fontId="0" fillId="0" borderId="9" xfId="1" applyFont="1" applyBorder="1" applyAlignment="1" applyProtection="1">
      <alignment horizontal="right"/>
      <protection hidden="1"/>
    </xf>
    <xf numFmtId="0" fontId="1" fillId="0" borderId="9" xfId="0" quotePrefix="1" applyNumberFormat="1" applyFont="1" applyFill="1" applyBorder="1" applyAlignment="1" applyProtection="1">
      <alignment horizontal="right"/>
      <protection hidden="1"/>
    </xf>
    <xf numFmtId="0" fontId="0" fillId="0" borderId="9" xfId="0" applyNumberFormat="1" applyFont="1" applyFill="1" applyBorder="1" applyAlignment="1" applyProtection="1">
      <alignment horizontal="right"/>
      <protection hidden="1"/>
    </xf>
    <xf numFmtId="43" fontId="4" fillId="0" borderId="9" xfId="1" applyFont="1" applyBorder="1" applyAlignment="1" applyProtection="1">
      <alignment horizontal="right"/>
      <protection hidden="1"/>
    </xf>
    <xf numFmtId="5" fontId="1" fillId="0" borderId="9" xfId="0" applyNumberFormat="1" applyFont="1" applyFill="1" applyBorder="1" applyAlignment="1" applyProtection="1">
      <alignment horizontal="right" wrapText="1"/>
      <protection hidden="1"/>
    </xf>
    <xf numFmtId="0" fontId="0" fillId="0" borderId="9" xfId="0" applyNumberFormat="1" applyFont="1" applyFill="1" applyBorder="1" applyAlignment="1" applyProtection="1">
      <alignment horizontal="right" wrapText="1"/>
      <protection hidden="1"/>
    </xf>
    <xf numFmtId="5" fontId="0" fillId="0" borderId="9" xfId="0" applyNumberFormat="1" applyFont="1" applyFill="1" applyBorder="1" applyAlignment="1" applyProtection="1">
      <alignment horizontal="right" wrapText="1"/>
      <protection hidden="1"/>
    </xf>
    <xf numFmtId="0" fontId="0" fillId="0" borderId="0" xfId="0" applyFill="1" applyBorder="1" applyAlignment="1" applyProtection="1">
      <alignment horizontal="center"/>
      <protection hidden="1"/>
    </xf>
    <xf numFmtId="166" fontId="68" fillId="19" borderId="10" xfId="2" applyNumberFormat="1" applyFont="1" applyFill="1" applyBorder="1" applyProtection="1">
      <protection hidden="1"/>
    </xf>
    <xf numFmtId="0" fontId="68" fillId="20" borderId="0" xfId="0" applyFont="1" applyFill="1" applyBorder="1" applyProtection="1">
      <protection locked="0"/>
    </xf>
    <xf numFmtId="0" fontId="68" fillId="20" borderId="4" xfId="0" applyFont="1" applyFill="1" applyBorder="1" applyProtection="1">
      <protection locked="0"/>
    </xf>
    <xf numFmtId="0" fontId="70" fillId="0" borderId="0" xfId="0" applyFont="1" applyFill="1" applyBorder="1" applyAlignment="1" applyProtection="1">
      <protection hidden="1"/>
    </xf>
    <xf numFmtId="0" fontId="0" fillId="0" borderId="0" xfId="0" applyFill="1" applyBorder="1" applyProtection="1">
      <protection hidden="1"/>
    </xf>
    <xf numFmtId="0" fontId="68" fillId="0" borderId="0" xfId="0" applyFont="1" applyFill="1" applyBorder="1" applyAlignment="1" applyProtection="1">
      <alignment horizontal="center" wrapText="1"/>
      <protection hidden="1"/>
    </xf>
    <xf numFmtId="0" fontId="19" fillId="0" borderId="7" xfId="0" applyFont="1" applyFill="1" applyBorder="1" applyProtection="1">
      <protection hidden="1"/>
    </xf>
    <xf numFmtId="0" fontId="0" fillId="0" borderId="5" xfId="0" applyFill="1" applyBorder="1" applyProtection="1">
      <protection hidden="1"/>
    </xf>
    <xf numFmtId="0" fontId="68" fillId="0" borderId="5" xfId="0" applyFont="1" applyFill="1" applyBorder="1" applyProtection="1">
      <protection hidden="1"/>
    </xf>
    <xf numFmtId="0" fontId="68" fillId="0" borderId="8" xfId="0" applyFont="1" applyFill="1" applyBorder="1" applyAlignment="1" applyProtection="1">
      <alignment horizontal="center"/>
      <protection hidden="1"/>
    </xf>
    <xf numFmtId="0" fontId="0" fillId="0" borderId="9" xfId="0" applyFill="1" applyBorder="1" applyProtection="1">
      <protection hidden="1"/>
    </xf>
    <xf numFmtId="0" fontId="68" fillId="0" borderId="0" xfId="0" applyFont="1" applyFill="1" applyBorder="1" applyProtection="1">
      <protection hidden="1"/>
    </xf>
    <xf numFmtId="0" fontId="66" fillId="0" borderId="0" xfId="0" applyFont="1" applyFill="1" applyBorder="1" applyAlignment="1" applyProtection="1">
      <alignment horizontal="left" indent="2"/>
      <protection hidden="1"/>
    </xf>
    <xf numFmtId="0" fontId="66" fillId="0" borderId="0" xfId="0" applyNumberFormat="1" applyFont="1" applyFill="1" applyBorder="1" applyAlignment="1" applyProtection="1">
      <alignment horizontal="left" indent="2"/>
      <protection hidden="1"/>
    </xf>
    <xf numFmtId="0" fontId="68" fillId="0" borderId="0" xfId="0" quotePrefix="1" applyFont="1" applyFill="1" applyBorder="1" applyProtection="1">
      <protection hidden="1"/>
    </xf>
    <xf numFmtId="0" fontId="68" fillId="0" borderId="4" xfId="0" quotePrefix="1" applyFont="1" applyFill="1" applyBorder="1" applyProtection="1">
      <protection hidden="1"/>
    </xf>
    <xf numFmtId="0" fontId="68" fillId="0" borderId="4" xfId="0" applyFont="1" applyFill="1" applyBorder="1" applyProtection="1">
      <protection hidden="1"/>
    </xf>
    <xf numFmtId="0" fontId="0" fillId="0" borderId="11" xfId="0" applyFill="1" applyBorder="1" applyProtection="1">
      <protection hidden="1"/>
    </xf>
    <xf numFmtId="0" fontId="19" fillId="0" borderId="4" xfId="0" quotePrefix="1" applyFont="1" applyFill="1" applyBorder="1" applyProtection="1">
      <protection hidden="1"/>
    </xf>
    <xf numFmtId="0" fontId="19" fillId="0" borderId="4" xfId="0" applyFont="1" applyFill="1" applyBorder="1" applyProtection="1">
      <protection hidden="1"/>
    </xf>
    <xf numFmtId="166" fontId="19" fillId="19" borderId="14" xfId="2" applyNumberFormat="1" applyFont="1" applyFill="1" applyBorder="1" applyProtection="1">
      <protection hidden="1"/>
    </xf>
    <xf numFmtId="0" fontId="68" fillId="0" borderId="8" xfId="0" applyFont="1" applyFill="1" applyBorder="1" applyProtection="1">
      <protection hidden="1"/>
    </xf>
    <xf numFmtId="0" fontId="18" fillId="0" borderId="0" xfId="0" applyFont="1" applyFill="1" applyBorder="1" applyProtection="1">
      <protection hidden="1"/>
    </xf>
    <xf numFmtId="0" fontId="0" fillId="0" borderId="9" xfId="0" applyFill="1" applyBorder="1" applyAlignment="1" applyProtection="1">
      <alignment horizontal="center"/>
      <protection hidden="1"/>
    </xf>
    <xf numFmtId="0" fontId="18" fillId="0" borderId="4" xfId="0" applyFont="1" applyFill="1" applyBorder="1" applyProtection="1">
      <protection hidden="1"/>
    </xf>
    <xf numFmtId="0" fontId="0" fillId="0" borderId="11" xfId="0" applyFill="1" applyBorder="1" applyAlignment="1" applyProtection="1">
      <alignment horizontal="center"/>
      <protection hidden="1"/>
    </xf>
    <xf numFmtId="166" fontId="68" fillId="0" borderId="0" xfId="2" applyNumberFormat="1" applyFont="1" applyFill="1" applyBorder="1" applyProtection="1">
      <protection hidden="1"/>
    </xf>
    <xf numFmtId="0" fontId="19" fillId="0" borderId="0" xfId="0" quotePrefix="1" applyFont="1" applyFill="1" applyBorder="1" applyProtection="1">
      <protection hidden="1"/>
    </xf>
    <xf numFmtId="0" fontId="19" fillId="0" borderId="0" xfId="0" applyFont="1" applyFill="1" applyBorder="1" applyProtection="1">
      <protection hidden="1"/>
    </xf>
    <xf numFmtId="166" fontId="19" fillId="19" borderId="0" xfId="2" applyNumberFormat="1" applyFont="1" applyFill="1" applyBorder="1" applyProtection="1">
      <protection hidden="1"/>
    </xf>
    <xf numFmtId="0" fontId="68" fillId="0" borderId="10" xfId="0" applyFont="1" applyFill="1" applyBorder="1" applyProtection="1">
      <protection hidden="1"/>
    </xf>
    <xf numFmtId="0" fontId="68" fillId="0" borderId="0" xfId="0" applyNumberFormat="1" applyFont="1" applyFill="1" applyBorder="1" applyAlignment="1" applyProtection="1">
      <alignment horizontal="left"/>
      <protection hidden="1"/>
    </xf>
    <xf numFmtId="0" fontId="1" fillId="0" borderId="9" xfId="0" quotePrefix="1" applyNumberFormat="1" applyFont="1" applyFill="1" applyBorder="1" applyAlignment="1" applyProtection="1">
      <alignment horizontal="left"/>
      <protection hidden="1"/>
    </xf>
    <xf numFmtId="0" fontId="19" fillId="0" borderId="0" xfId="0" applyFont="1" applyFill="1" applyBorder="1" applyAlignment="1" applyProtection="1">
      <alignment horizontal="left"/>
      <protection hidden="1"/>
    </xf>
    <xf numFmtId="0" fontId="68" fillId="0" borderId="0" xfId="0" quotePrefix="1" applyNumberFormat="1" applyFont="1" applyFill="1" applyBorder="1" applyAlignment="1" applyProtection="1">
      <alignment horizontal="left"/>
      <protection hidden="1"/>
    </xf>
    <xf numFmtId="0" fontId="19" fillId="0" borderId="0" xfId="0" applyFont="1" applyFill="1" applyBorder="1" applyAlignment="1" applyProtection="1">
      <alignment horizontal="center"/>
      <protection hidden="1"/>
    </xf>
    <xf numFmtId="0" fontId="19" fillId="0" borderId="10" xfId="0" applyFont="1" applyFill="1" applyBorder="1" applyAlignment="1" applyProtection="1">
      <alignment horizontal="center"/>
      <protection hidden="1"/>
    </xf>
    <xf numFmtId="0" fontId="68" fillId="0" borderId="0" xfId="0" applyFont="1" applyFill="1" applyBorder="1" applyAlignment="1" applyProtection="1">
      <alignment vertical="center"/>
      <protection hidden="1"/>
    </xf>
    <xf numFmtId="0" fontId="0" fillId="0" borderId="10" xfId="0" applyFill="1" applyBorder="1" applyProtection="1">
      <protection hidden="1"/>
    </xf>
    <xf numFmtId="0" fontId="68" fillId="0" borderId="9" xfId="0" applyFont="1" applyFill="1" applyBorder="1" applyAlignment="1" applyProtection="1">
      <alignment horizontal="center"/>
      <protection hidden="1"/>
    </xf>
    <xf numFmtId="0" fontId="0" fillId="0" borderId="4" xfId="0" applyFill="1" applyBorder="1" applyProtection="1">
      <protection hidden="1"/>
    </xf>
    <xf numFmtId="0" fontId="68" fillId="0" borderId="4" xfId="0" applyFont="1" applyFill="1" applyBorder="1" applyAlignment="1" applyProtection="1">
      <alignment vertical="center"/>
      <protection hidden="1"/>
    </xf>
    <xf numFmtId="166" fontId="68" fillId="19" borderId="14" xfId="2" applyNumberFormat="1" applyFont="1" applyFill="1" applyBorder="1" applyProtection="1">
      <protection hidden="1"/>
    </xf>
    <xf numFmtId="0" fontId="19" fillId="0" borderId="4" xfId="0" applyFont="1" applyFill="1" applyBorder="1" applyProtection="1"/>
    <xf numFmtId="166" fontId="5" fillId="0" borderId="14" xfId="1" applyNumberFormat="1" applyFont="1" applyBorder="1" applyProtection="1">
      <protection hidden="1"/>
    </xf>
    <xf numFmtId="166" fontId="4" fillId="14" borderId="33" xfId="2" applyNumberFormat="1" applyFont="1" applyFill="1" applyBorder="1" applyProtection="1">
      <protection hidden="1"/>
    </xf>
    <xf numFmtId="166" fontId="68" fillId="0" borderId="64" xfId="2" applyNumberFormat="1" applyFont="1" applyFill="1" applyBorder="1" applyProtection="1">
      <protection locked="0"/>
    </xf>
    <xf numFmtId="166" fontId="68" fillId="0" borderId="77" xfId="2" applyNumberFormat="1" applyFont="1" applyFill="1" applyBorder="1" applyProtection="1">
      <protection locked="0"/>
    </xf>
    <xf numFmtId="166" fontId="68" fillId="0" borderId="76" xfId="2" applyNumberFormat="1" applyFont="1" applyFill="1" applyBorder="1" applyProtection="1">
      <protection locked="0"/>
    </xf>
    <xf numFmtId="166" fontId="68" fillId="0" borderId="81" xfId="2" applyNumberFormat="1" applyFont="1" applyFill="1" applyBorder="1" applyProtection="1">
      <protection locked="0"/>
    </xf>
    <xf numFmtId="166" fontId="68" fillId="0" borderId="79" xfId="2" applyNumberFormat="1" applyFont="1" applyFill="1" applyBorder="1" applyAlignment="1" applyProtection="1">
      <protection locked="0"/>
    </xf>
    <xf numFmtId="166" fontId="4" fillId="14" borderId="10" xfId="1" applyNumberFormat="1" applyFont="1" applyFill="1" applyBorder="1" applyProtection="1">
      <protection hidden="1"/>
    </xf>
    <xf numFmtId="1" fontId="1" fillId="0" borderId="45" xfId="1" applyNumberFormat="1" applyFont="1" applyBorder="1" applyAlignment="1" applyProtection="1">
      <alignment horizontal="right"/>
      <protection locked="0"/>
    </xf>
    <xf numFmtId="166" fontId="19" fillId="0" borderId="0" xfId="2" applyNumberFormat="1" applyFont="1" applyBorder="1" applyProtection="1">
      <protection hidden="1"/>
    </xf>
    <xf numFmtId="166" fontId="21" fillId="0" borderId="0" xfId="2" applyNumberFormat="1" applyFont="1" applyBorder="1" applyAlignment="1" applyProtection="1">
      <alignment horizontal="center"/>
      <protection hidden="1"/>
    </xf>
    <xf numFmtId="166" fontId="19" fillId="0" borderId="0" xfId="2" applyNumberFormat="1" applyFont="1" applyBorder="1" applyAlignment="1" applyProtection="1">
      <alignment horizontal="center"/>
      <protection hidden="1"/>
    </xf>
    <xf numFmtId="166" fontId="5" fillId="0" borderId="0" xfId="2" applyNumberFormat="1" applyFont="1" applyBorder="1" applyProtection="1"/>
    <xf numFmtId="0" fontId="68" fillId="0" borderId="0" xfId="0" applyFont="1" applyAlignment="1" applyProtection="1">
      <alignment horizontal="left" vertical="center"/>
      <protection hidden="1"/>
    </xf>
    <xf numFmtId="3" fontId="66" fillId="0" borderId="0" xfId="0" applyNumberFormat="1" applyFont="1" applyFill="1" applyBorder="1" applyAlignment="1" applyProtection="1">
      <alignment horizontal="right"/>
      <protection hidden="1"/>
    </xf>
    <xf numFmtId="166" fontId="4" fillId="14" borderId="28" xfId="2" applyNumberFormat="1" applyFont="1" applyFill="1" applyBorder="1" applyProtection="1">
      <protection hidden="1"/>
    </xf>
    <xf numFmtId="166" fontId="1" fillId="14" borderId="26" xfId="0" applyNumberFormat="1" applyFont="1" applyFill="1" applyBorder="1" applyAlignment="1" applyProtection="1"/>
    <xf numFmtId="166" fontId="1" fillId="14" borderId="26" xfId="0" applyNumberFormat="1" applyFont="1" applyFill="1" applyBorder="1" applyAlignment="1" applyProtection="1">
      <protection hidden="1"/>
    </xf>
    <xf numFmtId="166" fontId="4" fillId="14" borderId="26" xfId="2" applyNumberFormat="1" applyFont="1" applyFill="1" applyBorder="1" applyAlignment="1" applyProtection="1">
      <alignment horizontal="right"/>
      <protection hidden="1"/>
    </xf>
    <xf numFmtId="0" fontId="37" fillId="0" borderId="0" xfId="0" applyFont="1" applyFill="1" applyAlignment="1" applyProtection="1">
      <alignment horizontal="left" vertical="center" wrapText="1"/>
      <protection hidden="1"/>
    </xf>
    <xf numFmtId="0" fontId="66" fillId="0" borderId="0" xfId="0" applyFont="1" applyAlignment="1" applyProtection="1">
      <alignment horizontal="left" vertical="center"/>
      <protection hidden="1"/>
    </xf>
    <xf numFmtId="0" fontId="1" fillId="0" borderId="25" xfId="0" quotePrefix="1" applyFont="1" applyBorder="1" applyAlignment="1" applyProtection="1">
      <alignment horizontal="right"/>
      <protection hidden="1"/>
    </xf>
    <xf numFmtId="166" fontId="1" fillId="0" borderId="0" xfId="0" quotePrefix="1" applyNumberFormat="1" applyFont="1" applyBorder="1" applyAlignment="1" applyProtection="1">
      <protection hidden="1"/>
    </xf>
    <xf numFmtId="0" fontId="21" fillId="0" borderId="25" xfId="0" applyFont="1" applyBorder="1" applyAlignment="1" applyProtection="1">
      <alignment horizontal="left" indent="1"/>
      <protection hidden="1"/>
    </xf>
    <xf numFmtId="166" fontId="21" fillId="0" borderId="0" xfId="0" applyNumberFormat="1" applyFont="1" applyBorder="1" applyProtection="1">
      <protection hidden="1"/>
    </xf>
    <xf numFmtId="0" fontId="21" fillId="0" borderId="0" xfId="0" applyFont="1" applyBorder="1" applyAlignment="1" applyProtection="1">
      <alignment horizontal="left" indent="1"/>
      <protection hidden="1"/>
    </xf>
    <xf numFmtId="166" fontId="21" fillId="0" borderId="26" xfId="0" applyNumberFormat="1" applyFont="1" applyBorder="1" applyProtection="1">
      <protection hidden="1"/>
    </xf>
    <xf numFmtId="42" fontId="5" fillId="0" borderId="30" xfId="0" applyNumberFormat="1" applyFont="1" applyBorder="1" applyProtection="1">
      <protection hidden="1"/>
    </xf>
    <xf numFmtId="166" fontId="0" fillId="0" borderId="0" xfId="0" applyNumberFormat="1" applyProtection="1">
      <protection hidden="1"/>
    </xf>
    <xf numFmtId="0" fontId="70" fillId="0" borderId="0" xfId="0" applyFont="1" applyAlignment="1" applyProtection="1">
      <protection hidden="1"/>
    </xf>
    <xf numFmtId="0" fontId="68" fillId="0" borderId="0" xfId="0" applyFont="1" applyAlignment="1" applyProtection="1">
      <alignment wrapText="1"/>
      <protection hidden="1"/>
    </xf>
    <xf numFmtId="37" fontId="0" fillId="0" borderId="0" xfId="2" applyNumberFormat="1" applyFont="1" applyBorder="1" applyProtection="1">
      <protection hidden="1"/>
    </xf>
    <xf numFmtId="3" fontId="75" fillId="0" borderId="0" xfId="0" applyNumberFormat="1" applyFont="1" applyFill="1" applyBorder="1" applyAlignment="1" applyProtection="1">
      <alignment horizontal="right"/>
      <protection hidden="1"/>
    </xf>
    <xf numFmtId="0" fontId="23" fillId="0" borderId="0" xfId="0" applyNumberFormat="1" applyFont="1" applyFill="1" applyBorder="1" applyAlignment="1" applyProtection="1">
      <alignment horizontal="right"/>
      <protection hidden="1"/>
    </xf>
    <xf numFmtId="0" fontId="74" fillId="0" borderId="0" xfId="0" applyFont="1" applyFill="1" applyBorder="1" applyAlignment="1" applyProtection="1">
      <alignment vertical="center"/>
      <protection hidden="1"/>
    </xf>
    <xf numFmtId="0" fontId="74" fillId="0" borderId="0" xfId="0" applyNumberFormat="1" applyFont="1" applyFill="1" applyBorder="1" applyAlignment="1" applyProtection="1">
      <alignment horizontal="right"/>
      <protection hidden="1"/>
    </xf>
    <xf numFmtId="3" fontId="74" fillId="0" borderId="0" xfId="0" applyNumberFormat="1" applyFont="1" applyFill="1" applyBorder="1" applyAlignment="1" applyProtection="1">
      <alignment horizontal="right"/>
      <protection hidden="1"/>
    </xf>
    <xf numFmtId="3" fontId="46" fillId="0" borderId="0" xfId="0" applyNumberFormat="1" applyFont="1" applyFill="1" applyBorder="1" applyAlignment="1" applyProtection="1">
      <alignment horizontal="right"/>
      <protection hidden="1"/>
    </xf>
    <xf numFmtId="166" fontId="21" fillId="0" borderId="5" xfId="0" applyNumberFormat="1" applyFont="1" applyBorder="1" applyProtection="1">
      <protection hidden="1"/>
    </xf>
    <xf numFmtId="1" fontId="4" fillId="0" borderId="45" xfId="2" applyNumberFormat="1" applyFont="1" applyFill="1" applyBorder="1" applyAlignment="1" applyProtection="1">
      <alignment horizontal="right"/>
      <protection hidden="1"/>
    </xf>
    <xf numFmtId="1" fontId="4" fillId="0" borderId="10" xfId="2" applyNumberFormat="1" applyFont="1" applyFill="1" applyBorder="1" applyAlignment="1" applyProtection="1">
      <alignment horizontal="right"/>
      <protection hidden="1"/>
    </xf>
    <xf numFmtId="1" fontId="4" fillId="0" borderId="26" xfId="2" applyNumberFormat="1" applyFont="1" applyFill="1" applyBorder="1" applyAlignment="1" applyProtection="1">
      <alignment horizontal="right"/>
      <protection hidden="1"/>
    </xf>
    <xf numFmtId="166" fontId="4" fillId="0" borderId="0" xfId="1" applyNumberFormat="1" applyFont="1" applyFill="1" applyBorder="1" applyProtection="1">
      <protection hidden="1"/>
    </xf>
    <xf numFmtId="166" fontId="4" fillId="0" borderId="59" xfId="2" applyNumberFormat="1" applyFont="1" applyFill="1" applyBorder="1" applyProtection="1">
      <protection hidden="1"/>
    </xf>
    <xf numFmtId="5" fontId="5" fillId="0" borderId="29" xfId="0" applyNumberFormat="1" applyFont="1" applyFill="1" applyBorder="1" applyAlignment="1" applyProtection="1">
      <alignment horizontal="right"/>
    </xf>
    <xf numFmtId="5" fontId="5" fillId="0" borderId="18" xfId="0" applyNumberFormat="1" applyFont="1" applyFill="1" applyBorder="1" applyAlignment="1" applyProtection="1">
      <alignment horizontal="right"/>
    </xf>
    <xf numFmtId="166" fontId="5" fillId="0" borderId="19" xfId="0" applyNumberFormat="1" applyFont="1" applyFill="1" applyBorder="1" applyAlignment="1" applyProtection="1">
      <alignment horizontal="right"/>
    </xf>
    <xf numFmtId="166" fontId="4" fillId="0" borderId="63" xfId="2" applyNumberFormat="1" applyFont="1" applyBorder="1" applyProtection="1">
      <protection hidden="1"/>
    </xf>
    <xf numFmtId="1" fontId="4" fillId="0" borderId="48" xfId="1" applyNumberFormat="1" applyFont="1" applyBorder="1" applyAlignment="1" applyProtection="1">
      <alignment horizontal="right"/>
      <protection hidden="1"/>
    </xf>
    <xf numFmtId="1" fontId="4" fillId="0" borderId="19" xfId="1" applyNumberFormat="1" applyFont="1" applyBorder="1" applyAlignment="1" applyProtection="1">
      <alignment horizontal="right"/>
      <protection hidden="1"/>
    </xf>
    <xf numFmtId="1" fontId="4" fillId="0" borderId="30" xfId="1" applyNumberFormat="1" applyFont="1" applyBorder="1" applyAlignment="1" applyProtection="1">
      <alignment horizontal="right"/>
      <protection hidden="1"/>
    </xf>
    <xf numFmtId="166" fontId="5" fillId="0" borderId="56" xfId="0" applyNumberFormat="1" applyFont="1" applyFill="1" applyBorder="1" applyAlignment="1" applyProtection="1">
      <alignment horizontal="right"/>
    </xf>
    <xf numFmtId="166" fontId="4" fillId="0" borderId="67" xfId="2" applyNumberFormat="1" applyFont="1" applyBorder="1" applyProtection="1">
      <protection hidden="1"/>
    </xf>
    <xf numFmtId="1" fontId="4" fillId="0" borderId="53" xfId="1" applyNumberFormat="1" applyFont="1" applyBorder="1" applyAlignment="1" applyProtection="1">
      <alignment horizontal="right"/>
      <protection hidden="1"/>
    </xf>
    <xf numFmtId="166" fontId="7" fillId="0" borderId="82" xfId="0" applyNumberFormat="1" applyFont="1" applyBorder="1" applyAlignment="1">
      <alignment horizontal="left"/>
    </xf>
    <xf numFmtId="166" fontId="5" fillId="0" borderId="82" xfId="0" applyNumberFormat="1" applyFont="1" applyFill="1" applyBorder="1" applyAlignment="1" applyProtection="1">
      <protection hidden="1"/>
    </xf>
    <xf numFmtId="166" fontId="5" fillId="0" borderId="0" xfId="0" applyNumberFormat="1" applyFont="1" applyFill="1" applyBorder="1" applyAlignment="1" applyProtection="1">
      <protection hidden="1"/>
    </xf>
    <xf numFmtId="1" fontId="5" fillId="0" borderId="0" xfId="0" applyNumberFormat="1" applyFont="1" applyFill="1" applyBorder="1" applyAlignment="1" applyProtection="1">
      <alignment horizontal="right"/>
      <protection hidden="1"/>
    </xf>
    <xf numFmtId="166" fontId="5" fillId="0" borderId="19" xfId="0" applyNumberFormat="1" applyFont="1" applyFill="1" applyBorder="1" applyAlignment="1" applyProtection="1">
      <protection hidden="1"/>
    </xf>
    <xf numFmtId="166" fontId="5" fillId="0" borderId="63" xfId="0" applyNumberFormat="1" applyFont="1" applyFill="1" applyBorder="1" applyAlignment="1" applyProtection="1">
      <protection hidden="1"/>
    </xf>
    <xf numFmtId="0" fontId="37" fillId="0" borderId="18" xfId="0" applyNumberFormat="1" applyFont="1" applyFill="1" applyBorder="1" applyAlignment="1" applyProtection="1"/>
    <xf numFmtId="1" fontId="4" fillId="0" borderId="18" xfId="0" applyNumberFormat="1" applyFont="1" applyFill="1" applyBorder="1" applyAlignment="1" applyProtection="1">
      <alignment horizontal="right"/>
      <protection hidden="1"/>
    </xf>
    <xf numFmtId="166" fontId="4" fillId="0" borderId="19" xfId="0" applyNumberFormat="1" applyFont="1" applyFill="1" applyBorder="1" applyAlignment="1" applyProtection="1">
      <protection hidden="1"/>
    </xf>
    <xf numFmtId="1" fontId="4" fillId="0" borderId="19" xfId="0" applyNumberFormat="1" applyFont="1" applyFill="1" applyBorder="1" applyAlignment="1" applyProtection="1">
      <alignment horizontal="right"/>
      <protection hidden="1"/>
    </xf>
    <xf numFmtId="166" fontId="4" fillId="0" borderId="63" xfId="0" applyNumberFormat="1" applyFont="1" applyBorder="1" applyProtection="1">
      <protection hidden="1"/>
    </xf>
    <xf numFmtId="166" fontId="5" fillId="0" borderId="0" xfId="0" applyNumberFormat="1" applyFont="1" applyFill="1" applyBorder="1" applyAlignment="1" applyProtection="1">
      <alignment horizontal="right"/>
    </xf>
    <xf numFmtId="166" fontId="7" fillId="0" borderId="0" xfId="0" applyNumberFormat="1" applyFont="1" applyBorder="1" applyAlignment="1">
      <alignment horizontal="left"/>
    </xf>
    <xf numFmtId="5" fontId="5" fillId="0" borderId="62" xfId="0" applyNumberFormat="1" applyFont="1" applyFill="1" applyBorder="1" applyAlignment="1" applyProtection="1"/>
    <xf numFmtId="3" fontId="4" fillId="0" borderId="0" xfId="0" applyNumberFormat="1" applyFont="1" applyFill="1" applyBorder="1" applyAlignment="1" applyProtection="1">
      <alignment horizontal="right"/>
    </xf>
    <xf numFmtId="164" fontId="7" fillId="0" borderId="0" xfId="0" applyNumberFormat="1" applyFont="1" applyBorder="1" applyAlignment="1"/>
    <xf numFmtId="3" fontId="7" fillId="0" borderId="0" xfId="0" applyNumberFormat="1" applyFont="1" applyBorder="1" applyAlignment="1"/>
    <xf numFmtId="0" fontId="1" fillId="0" borderId="0" xfId="0" applyNumberFormat="1" applyFont="1" applyFill="1" applyBorder="1" applyAlignment="1" applyProtection="1">
      <protection hidden="1"/>
    </xf>
    <xf numFmtId="1" fontId="4" fillId="0" borderId="0" xfId="0" applyNumberFormat="1" applyFont="1" applyFill="1" applyBorder="1" applyAlignment="1" applyProtection="1"/>
    <xf numFmtId="0" fontId="5" fillId="0" borderId="33" xfId="0" applyNumberFormat="1" applyFont="1" applyFill="1" applyBorder="1" applyAlignment="1" applyProtection="1">
      <alignment horizontal="center"/>
    </xf>
    <xf numFmtId="0" fontId="1" fillId="0" borderId="25" xfId="0" applyNumberFormat="1" applyFont="1" applyFill="1" applyBorder="1" applyAlignment="1" applyProtection="1">
      <alignment horizontal="right"/>
      <protection hidden="1"/>
    </xf>
    <xf numFmtId="0" fontId="37" fillId="0" borderId="49" xfId="0" applyNumberFormat="1" applyFont="1" applyFill="1" applyBorder="1" applyAlignment="1" applyProtection="1">
      <alignment horizontal="center"/>
    </xf>
    <xf numFmtId="3" fontId="1" fillId="0" borderId="10" xfId="0" applyNumberFormat="1" applyFont="1" applyFill="1" applyBorder="1" applyAlignment="1" applyProtection="1">
      <protection hidden="1"/>
    </xf>
    <xf numFmtId="164" fontId="5" fillId="0" borderId="49" xfId="0" applyNumberFormat="1" applyFont="1" applyBorder="1" applyAlignment="1">
      <alignment horizontal="center"/>
    </xf>
    <xf numFmtId="0" fontId="5" fillId="0" borderId="49" xfId="0" applyFont="1" applyBorder="1" applyAlignment="1" applyProtection="1">
      <alignment horizontal="center"/>
      <protection locked="0"/>
    </xf>
    <xf numFmtId="0" fontId="5" fillId="0" borderId="49" xfId="0" applyNumberFormat="1" applyFont="1" applyFill="1" applyBorder="1" applyAlignment="1" applyProtection="1">
      <alignment horizontal="center"/>
    </xf>
    <xf numFmtId="0" fontId="37" fillId="0" borderId="33" xfId="0" applyNumberFormat="1" applyFont="1" applyFill="1" applyBorder="1" applyAlignment="1" applyProtection="1">
      <alignment horizontal="center"/>
    </xf>
    <xf numFmtId="42" fontId="1" fillId="0" borderId="26" xfId="0" applyNumberFormat="1" applyFont="1" applyFill="1" applyBorder="1" applyAlignment="1" applyProtection="1">
      <protection hidden="1"/>
    </xf>
    <xf numFmtId="170" fontId="4" fillId="14" borderId="26" xfId="1" applyNumberFormat="1" applyFont="1" applyFill="1" applyBorder="1" applyAlignment="1" applyProtection="1">
      <alignment horizontal="right"/>
      <protection hidden="1"/>
    </xf>
    <xf numFmtId="0" fontId="1" fillId="0" borderId="29" xfId="0" quotePrefix="1" applyNumberFormat="1" applyFont="1" applyFill="1" applyBorder="1" applyAlignment="1" applyProtection="1">
      <alignment horizontal="right"/>
    </xf>
    <xf numFmtId="0" fontId="1" fillId="0" borderId="18" xfId="0" applyNumberFormat="1" applyFont="1" applyFill="1" applyBorder="1" applyAlignment="1" applyProtection="1">
      <alignment horizontal="right"/>
      <protection locked="0"/>
    </xf>
    <xf numFmtId="1" fontId="4" fillId="14" borderId="30" xfId="2" applyNumberFormat="1" applyFont="1" applyFill="1" applyBorder="1" applyAlignment="1" applyProtection="1">
      <alignment horizontal="right"/>
      <protection hidden="1"/>
    </xf>
    <xf numFmtId="166" fontId="4" fillId="14" borderId="30" xfId="2" applyNumberFormat="1" applyFont="1" applyFill="1" applyBorder="1" applyProtection="1">
      <protection hidden="1"/>
    </xf>
    <xf numFmtId="166" fontId="4" fillId="14" borderId="19" xfId="1" applyNumberFormat="1" applyFont="1" applyFill="1" applyBorder="1" applyProtection="1">
      <protection hidden="1"/>
    </xf>
    <xf numFmtId="170" fontId="4" fillId="14" borderId="10" xfId="1" applyNumberFormat="1" applyFont="1" applyFill="1" applyBorder="1" applyAlignment="1" applyProtection="1">
      <alignment horizontal="right"/>
      <protection hidden="1"/>
    </xf>
    <xf numFmtId="1" fontId="4" fillId="14" borderId="19" xfId="2" applyNumberFormat="1" applyFont="1" applyFill="1" applyBorder="1" applyAlignment="1" applyProtection="1">
      <alignment horizontal="right"/>
      <protection hidden="1"/>
    </xf>
    <xf numFmtId="3" fontId="5" fillId="0" borderId="0" xfId="0" applyNumberFormat="1" applyFont="1" applyFill="1" applyBorder="1" applyAlignment="1" applyProtection="1"/>
    <xf numFmtId="0" fontId="5" fillId="0" borderId="31" xfId="0" applyFont="1" applyBorder="1" applyAlignment="1" applyProtection="1">
      <alignment horizontal="left"/>
      <protection locked="0"/>
    </xf>
    <xf numFmtId="166" fontId="19" fillId="0" borderId="2" xfId="0" applyNumberFormat="1" applyFont="1" applyBorder="1" applyProtection="1">
      <protection hidden="1"/>
    </xf>
    <xf numFmtId="166" fontId="19" fillId="0" borderId="13" xfId="0" applyNumberFormat="1" applyFont="1" applyBorder="1" applyProtection="1">
      <protection hidden="1"/>
    </xf>
    <xf numFmtId="0" fontId="76" fillId="0" borderId="0" xfId="0" applyFont="1" applyAlignment="1" applyProtection="1">
      <alignment vertical="center"/>
      <protection hidden="1"/>
    </xf>
    <xf numFmtId="0" fontId="76" fillId="0" borderId="0" xfId="0" applyFont="1" applyAlignment="1">
      <alignment vertical="center"/>
    </xf>
    <xf numFmtId="0" fontId="76" fillId="0" borderId="0" xfId="0" applyFont="1" applyProtection="1">
      <protection hidden="1"/>
    </xf>
    <xf numFmtId="0" fontId="76" fillId="0" borderId="0" xfId="0" applyFont="1"/>
    <xf numFmtId="0" fontId="1" fillId="0" borderId="25" xfId="0" quotePrefix="1" applyFont="1" applyBorder="1" applyAlignment="1">
      <alignment horizontal="right"/>
    </xf>
    <xf numFmtId="0" fontId="5" fillId="0" borderId="30" xfId="0" applyNumberFormat="1" applyFont="1" applyFill="1" applyBorder="1" applyAlignment="1" applyProtection="1">
      <alignment horizontal="left"/>
      <protection hidden="1"/>
    </xf>
    <xf numFmtId="166" fontId="4" fillId="0" borderId="10" xfId="0" applyNumberFormat="1" applyFont="1" applyFill="1" applyBorder="1" applyAlignment="1" applyProtection="1">
      <protection hidden="1"/>
    </xf>
    <xf numFmtId="166" fontId="5" fillId="0" borderId="10" xfId="0" applyNumberFormat="1" applyFont="1" applyFill="1" applyBorder="1" applyAlignment="1" applyProtection="1">
      <alignment horizontal="left"/>
      <protection hidden="1"/>
    </xf>
    <xf numFmtId="0" fontId="0" fillId="0" borderId="49" xfId="0" applyBorder="1" applyAlignment="1" applyProtection="1">
      <alignment horizontal="center"/>
      <protection hidden="1"/>
    </xf>
    <xf numFmtId="0" fontId="0" fillId="0" borderId="33" xfId="0" applyBorder="1" applyAlignment="1" applyProtection="1">
      <alignment horizontal="center"/>
      <protection hidden="1"/>
    </xf>
    <xf numFmtId="0" fontId="0" fillId="0" borderId="61" xfId="0" applyBorder="1" applyAlignment="1" applyProtection="1">
      <alignment horizontal="center"/>
      <protection hidden="1"/>
    </xf>
    <xf numFmtId="164" fontId="7" fillId="0" borderId="31" xfId="0" applyNumberFormat="1" applyFont="1" applyBorder="1" applyAlignment="1" applyProtection="1">
      <protection hidden="1"/>
    </xf>
    <xf numFmtId="164" fontId="7" fillId="0" borderId="32" xfId="0" applyNumberFormat="1" applyFont="1" applyBorder="1" applyAlignment="1" applyProtection="1">
      <protection hidden="1"/>
    </xf>
    <xf numFmtId="0" fontId="37" fillId="0" borderId="49" xfId="0" applyNumberFormat="1" applyFont="1" applyFill="1" applyBorder="1" applyAlignment="1" applyProtection="1">
      <alignment horizontal="center"/>
      <protection hidden="1"/>
    </xf>
    <xf numFmtId="0" fontId="37" fillId="0" borderId="33" xfId="0" applyNumberFormat="1" applyFont="1" applyFill="1" applyBorder="1" applyAlignment="1" applyProtection="1">
      <alignment horizontal="center"/>
      <protection hidden="1"/>
    </xf>
    <xf numFmtId="164" fontId="5" fillId="0" borderId="49" xfId="0" applyNumberFormat="1" applyFont="1" applyBorder="1" applyAlignment="1" applyProtection="1">
      <alignment horizontal="center"/>
      <protection hidden="1"/>
    </xf>
    <xf numFmtId="0" fontId="5" fillId="0" borderId="49" xfId="0" applyFont="1" applyBorder="1" applyAlignment="1" applyProtection="1">
      <alignment horizontal="center"/>
      <protection hidden="1"/>
    </xf>
    <xf numFmtId="0" fontId="5" fillId="0" borderId="49" xfId="0" applyNumberFormat="1" applyFont="1" applyFill="1" applyBorder="1" applyAlignment="1" applyProtection="1">
      <alignment horizontal="center"/>
      <protection hidden="1"/>
    </xf>
    <xf numFmtId="0" fontId="5" fillId="0" borderId="33" xfId="0" applyNumberFormat="1" applyFont="1" applyFill="1" applyBorder="1" applyAlignment="1" applyProtection="1">
      <alignment horizontal="center"/>
      <protection hidden="1"/>
    </xf>
    <xf numFmtId="3" fontId="4" fillId="0" borderId="10" xfId="0" applyNumberFormat="1" applyFont="1" applyFill="1" applyBorder="1" applyAlignment="1" applyProtection="1">
      <alignment horizontal="right"/>
      <protection hidden="1"/>
    </xf>
    <xf numFmtId="3" fontId="0" fillId="0" borderId="10" xfId="2" applyNumberFormat="1" applyFont="1" applyBorder="1" applyAlignment="1" applyProtection="1">
      <alignment horizontal="right"/>
      <protection hidden="1"/>
    </xf>
    <xf numFmtId="3" fontId="0" fillId="0" borderId="26" xfId="2" applyNumberFormat="1" applyFont="1" applyBorder="1" applyAlignment="1" applyProtection="1">
      <alignment horizontal="right"/>
      <protection hidden="1"/>
    </xf>
    <xf numFmtId="164" fontId="1" fillId="0" borderId="25" xfId="0" applyNumberFormat="1" applyFont="1" applyBorder="1" applyAlignment="1" applyProtection="1">
      <alignment horizontal="right"/>
      <protection hidden="1"/>
    </xf>
    <xf numFmtId="164" fontId="1" fillId="0" borderId="0" xfId="0" applyNumberFormat="1" applyFont="1" applyBorder="1" applyAlignment="1" applyProtection="1">
      <protection hidden="1"/>
    </xf>
    <xf numFmtId="3" fontId="1" fillId="0" borderId="10" xfId="0" applyNumberFormat="1" applyFont="1" applyBorder="1" applyAlignment="1" applyProtection="1">
      <protection hidden="1"/>
    </xf>
    <xf numFmtId="3" fontId="1" fillId="0" borderId="26" xfId="0" applyNumberFormat="1" applyFont="1" applyBorder="1" applyAlignment="1" applyProtection="1">
      <protection hidden="1"/>
    </xf>
    <xf numFmtId="3" fontId="4" fillId="0" borderId="26" xfId="0" applyNumberFormat="1" applyFont="1" applyFill="1" applyBorder="1" applyAlignment="1" applyProtection="1">
      <alignment horizontal="right"/>
      <protection hidden="1"/>
    </xf>
    <xf numFmtId="0" fontId="5" fillId="0" borderId="29" xfId="0" applyNumberFormat="1" applyFont="1" applyFill="1" applyBorder="1" applyAlignment="1" applyProtection="1">
      <alignment horizontal="right"/>
      <protection hidden="1"/>
    </xf>
    <xf numFmtId="0" fontId="4" fillId="0" borderId="18" xfId="0" applyNumberFormat="1" applyFont="1" applyFill="1" applyBorder="1" applyAlignment="1" applyProtection="1">
      <protection hidden="1"/>
    </xf>
    <xf numFmtId="3" fontId="4" fillId="0" borderId="19" xfId="0" applyNumberFormat="1" applyFont="1" applyFill="1" applyBorder="1" applyAlignment="1" applyProtection="1">
      <protection hidden="1"/>
    </xf>
    <xf numFmtId="3" fontId="4" fillId="0" borderId="30" xfId="0" applyNumberFormat="1" applyFont="1" applyFill="1" applyBorder="1" applyAlignment="1" applyProtection="1">
      <protection hidden="1"/>
    </xf>
    <xf numFmtId="3" fontId="4" fillId="0" borderId="19" xfId="0" applyNumberFormat="1" applyFont="1" applyFill="1" applyBorder="1" applyAlignment="1" applyProtection="1">
      <alignment horizontal="right"/>
      <protection hidden="1"/>
    </xf>
    <xf numFmtId="3" fontId="4" fillId="0" borderId="30" xfId="0" applyNumberFormat="1" applyFont="1" applyFill="1" applyBorder="1" applyAlignment="1" applyProtection="1">
      <alignment horizontal="right"/>
      <protection hidden="1"/>
    </xf>
    <xf numFmtId="166" fontId="1" fillId="14" borderId="10" xfId="2" applyNumberFormat="1" applyFont="1" applyFill="1" applyBorder="1" applyAlignment="1" applyProtection="1">
      <alignment horizontal="right"/>
      <protection hidden="1"/>
    </xf>
    <xf numFmtId="0" fontId="4" fillId="14" borderId="10" xfId="0" applyNumberFormat="1" applyFont="1" applyFill="1" applyBorder="1" applyAlignment="1" applyProtection="1">
      <protection hidden="1"/>
    </xf>
    <xf numFmtId="170" fontId="4" fillId="14" borderId="26" xfId="0" applyNumberFormat="1" applyFont="1" applyFill="1" applyBorder="1" applyAlignment="1" applyProtection="1">
      <protection hidden="1"/>
    </xf>
    <xf numFmtId="5" fontId="1" fillId="0" borderId="0" xfId="0" applyNumberFormat="1" applyFont="1" applyFill="1" applyBorder="1" applyAlignment="1" applyProtection="1">
      <alignment horizontal="right" wrapText="1"/>
      <protection hidden="1"/>
    </xf>
    <xf numFmtId="5" fontId="0" fillId="0" borderId="0" xfId="0" applyNumberFormat="1" applyFont="1" applyFill="1" applyBorder="1" applyAlignment="1" applyProtection="1">
      <alignment horizontal="right" wrapText="1"/>
      <protection hidden="1"/>
    </xf>
    <xf numFmtId="0" fontId="1" fillId="0" borderId="0" xfId="0" applyNumberFormat="1" applyFont="1" applyFill="1" applyBorder="1" applyAlignment="1" applyProtection="1">
      <alignment horizontal="right" wrapText="1"/>
      <protection hidden="1"/>
    </xf>
    <xf numFmtId="0" fontId="68" fillId="0" borderId="0" xfId="0" applyFont="1" applyBorder="1" applyAlignment="1" applyProtection="1">
      <alignment horizontal="center" wrapText="1"/>
      <protection hidden="1"/>
    </xf>
    <xf numFmtId="0" fontId="68" fillId="0" borderId="0" xfId="0" applyFont="1" applyBorder="1" applyAlignment="1" applyProtection="1">
      <alignment horizontal="center"/>
      <protection hidden="1"/>
    </xf>
    <xf numFmtId="0" fontId="0" fillId="0" borderId="10" xfId="0" applyBorder="1" applyProtection="1">
      <protection hidden="1"/>
    </xf>
    <xf numFmtId="0" fontId="19" fillId="0" borderId="0" xfId="0" applyFont="1" applyBorder="1" applyAlignment="1" applyProtection="1">
      <alignment horizontal="center"/>
      <protection hidden="1"/>
    </xf>
    <xf numFmtId="166" fontId="0" fillId="0" borderId="10" xfId="0" applyNumberFormat="1" applyBorder="1" applyProtection="1">
      <protection hidden="1"/>
    </xf>
    <xf numFmtId="166" fontId="23" fillId="0" borderId="0" xfId="0" applyNumberFormat="1" applyFont="1" applyBorder="1" applyProtection="1">
      <protection hidden="1"/>
    </xf>
    <xf numFmtId="0" fontId="17" fillId="0" borderId="0" xfId="0" applyFont="1" applyBorder="1" applyAlignment="1" applyProtection="1">
      <alignment horizontal="center"/>
      <protection hidden="1"/>
    </xf>
    <xf numFmtId="0" fontId="5" fillId="0" borderId="0" xfId="0" applyFont="1" applyBorder="1" applyAlignment="1" applyProtection="1">
      <alignment horizontal="center"/>
      <protection hidden="1"/>
    </xf>
    <xf numFmtId="3" fontId="0" fillId="0" borderId="0" xfId="0" applyNumberFormat="1" applyBorder="1" applyProtection="1">
      <protection hidden="1"/>
    </xf>
    <xf numFmtId="0" fontId="21" fillId="0" borderId="0" xfId="0" applyFont="1" applyBorder="1" applyAlignment="1" applyProtection="1">
      <alignment horizontal="center"/>
      <protection hidden="1"/>
    </xf>
    <xf numFmtId="0" fontId="0" fillId="0" borderId="7" xfId="0" applyBorder="1" applyProtection="1">
      <protection hidden="1"/>
    </xf>
    <xf numFmtId="0" fontId="0" fillId="0" borderId="8" xfId="0" applyBorder="1" applyProtection="1">
      <protection hidden="1"/>
    </xf>
    <xf numFmtId="166" fontId="17" fillId="0" borderId="0" xfId="0" applyNumberFormat="1" applyFont="1" applyBorder="1" applyProtection="1">
      <protection hidden="1"/>
    </xf>
    <xf numFmtId="166" fontId="21" fillId="0" borderId="0" xfId="2" applyNumberFormat="1" applyFont="1" applyBorder="1" applyProtection="1">
      <protection hidden="1"/>
    </xf>
    <xf numFmtId="0" fontId="74" fillId="0" borderId="0" xfId="0" applyFont="1" applyBorder="1" applyAlignment="1" applyProtection="1">
      <alignment vertical="center"/>
      <protection hidden="1"/>
    </xf>
    <xf numFmtId="3" fontId="74" fillId="0" borderId="0" xfId="0" applyNumberFormat="1" applyFont="1" applyBorder="1" applyAlignment="1" applyProtection="1">
      <alignment horizontal="right"/>
      <protection hidden="1"/>
    </xf>
    <xf numFmtId="0" fontId="46" fillId="0" borderId="0" xfId="0" applyFont="1" applyBorder="1" applyAlignment="1" applyProtection="1">
      <alignment horizontal="left" vertical="center"/>
      <protection hidden="1"/>
    </xf>
    <xf numFmtId="0" fontId="1" fillId="0" borderId="0" xfId="0" applyFont="1" applyBorder="1" applyAlignment="1" applyProtection="1">
      <alignment horizontal="left" vertical="center"/>
      <protection hidden="1"/>
    </xf>
    <xf numFmtId="0" fontId="1" fillId="0" borderId="0" xfId="0" applyFont="1" applyBorder="1" applyAlignment="1" applyProtection="1">
      <alignment vertical="center"/>
      <protection hidden="1"/>
    </xf>
    <xf numFmtId="0" fontId="23" fillId="0" borderId="0" xfId="0" applyFont="1" applyBorder="1" applyAlignment="1" applyProtection="1">
      <alignment vertical="center"/>
      <protection hidden="1"/>
    </xf>
    <xf numFmtId="0" fontId="74" fillId="0" borderId="0" xfId="0" applyFont="1" applyBorder="1" applyAlignment="1" applyProtection="1">
      <alignment horizontal="left" vertical="center"/>
      <protection hidden="1"/>
    </xf>
    <xf numFmtId="0" fontId="17" fillId="0" borderId="0" xfId="0" applyFont="1" applyBorder="1" applyProtection="1">
      <protection hidden="1"/>
    </xf>
    <xf numFmtId="0" fontId="0" fillId="0" borderId="11" xfId="0" applyBorder="1" applyProtection="1">
      <protection hidden="1"/>
    </xf>
    <xf numFmtId="0" fontId="0" fillId="0" borderId="4" xfId="0" applyBorder="1" applyProtection="1">
      <protection hidden="1"/>
    </xf>
    <xf numFmtId="0" fontId="0" fillId="0" borderId="14" xfId="0" applyBorder="1" applyProtection="1">
      <protection hidden="1"/>
    </xf>
    <xf numFmtId="0" fontId="1" fillId="0" borderId="0" xfId="0" applyNumberFormat="1" applyFont="1" applyFill="1" applyBorder="1" applyAlignment="1" applyProtection="1">
      <alignment horizontal="right" wrapText="1"/>
      <protection hidden="1"/>
    </xf>
    <xf numFmtId="0" fontId="19" fillId="0" borderId="0" xfId="0" applyFont="1" applyBorder="1" applyAlignment="1" applyProtection="1">
      <alignment horizontal="center"/>
      <protection hidden="1"/>
    </xf>
    <xf numFmtId="37" fontId="0" fillId="0" borderId="4" xfId="2" applyNumberFormat="1" applyFont="1" applyBorder="1" applyProtection="1">
      <protection hidden="1"/>
    </xf>
    <xf numFmtId="0" fontId="1" fillId="0" borderId="4" xfId="0" applyNumberFormat="1" applyFont="1" applyFill="1" applyBorder="1" applyAlignment="1" applyProtection="1">
      <alignment horizontal="right" wrapText="1"/>
      <protection hidden="1"/>
    </xf>
    <xf numFmtId="42" fontId="0" fillId="0" borderId="0" xfId="0" applyNumberFormat="1" applyProtection="1">
      <protection hidden="1"/>
    </xf>
    <xf numFmtId="0" fontId="21" fillId="0" borderId="0" xfId="0" applyFont="1" applyBorder="1" applyProtection="1">
      <protection hidden="1"/>
    </xf>
    <xf numFmtId="0" fontId="0" fillId="0" borderId="32" xfId="0" applyBorder="1" applyProtection="1">
      <protection hidden="1"/>
    </xf>
    <xf numFmtId="37" fontId="0" fillId="0" borderId="26" xfId="2" applyNumberFormat="1" applyFont="1" applyBorder="1" applyProtection="1">
      <protection hidden="1"/>
    </xf>
    <xf numFmtId="43" fontId="0" fillId="0" borderId="25" xfId="1" applyFont="1" applyBorder="1" applyAlignment="1" applyProtection="1">
      <alignment horizontal="right"/>
      <protection hidden="1"/>
    </xf>
    <xf numFmtId="0" fontId="0" fillId="0" borderId="25" xfId="0" applyNumberFormat="1" applyFont="1" applyFill="1" applyBorder="1" applyAlignment="1" applyProtection="1">
      <alignment horizontal="right"/>
      <protection hidden="1"/>
    </xf>
    <xf numFmtId="43" fontId="4" fillId="0" borderId="25" xfId="1" applyFont="1" applyBorder="1" applyAlignment="1" applyProtection="1">
      <alignment horizontal="right"/>
      <protection hidden="1"/>
    </xf>
    <xf numFmtId="0" fontId="21" fillId="0" borderId="23" xfId="0" applyFont="1" applyBorder="1" applyProtection="1">
      <protection hidden="1"/>
    </xf>
    <xf numFmtId="166" fontId="21" fillId="0" borderId="24" xfId="0" applyNumberFormat="1" applyFont="1" applyBorder="1" applyProtection="1">
      <protection hidden="1"/>
    </xf>
    <xf numFmtId="166" fontId="17" fillId="0" borderId="26" xfId="0" applyNumberFormat="1" applyFont="1" applyBorder="1" applyProtection="1">
      <protection hidden="1"/>
    </xf>
    <xf numFmtId="0" fontId="5" fillId="0" borderId="26" xfId="0" applyFont="1" applyBorder="1" applyAlignment="1" applyProtection="1">
      <alignment horizontal="center"/>
      <protection hidden="1"/>
    </xf>
    <xf numFmtId="3" fontId="0" fillId="0" borderId="26" xfId="0" applyNumberFormat="1" applyBorder="1" applyProtection="1">
      <protection hidden="1"/>
    </xf>
    <xf numFmtId="166" fontId="21" fillId="0" borderId="26" xfId="2" applyNumberFormat="1" applyFont="1" applyBorder="1" applyProtection="1">
      <protection hidden="1"/>
    </xf>
    <xf numFmtId="0" fontId="74" fillId="0" borderId="25" xfId="0" applyFont="1" applyBorder="1" applyAlignment="1" applyProtection="1">
      <alignment vertical="center"/>
      <protection hidden="1"/>
    </xf>
    <xf numFmtId="3" fontId="74" fillId="0" borderId="26" xfId="0" applyNumberFormat="1" applyFont="1" applyBorder="1" applyAlignment="1" applyProtection="1">
      <alignment horizontal="right"/>
      <protection hidden="1"/>
    </xf>
    <xf numFmtId="0" fontId="46" fillId="0" borderId="25" xfId="0" applyFont="1" applyBorder="1" applyAlignment="1" applyProtection="1">
      <alignment horizontal="left" vertical="center"/>
      <protection hidden="1"/>
    </xf>
    <xf numFmtId="3" fontId="46" fillId="0" borderId="26" xfId="0" applyNumberFormat="1" applyFont="1" applyFill="1" applyBorder="1" applyAlignment="1" applyProtection="1">
      <alignment horizontal="right"/>
      <protection hidden="1"/>
    </xf>
    <xf numFmtId="0" fontId="1" fillId="0" borderId="25" xfId="0" applyFont="1" applyBorder="1" applyAlignment="1" applyProtection="1">
      <alignment horizontal="left" vertical="center"/>
      <protection hidden="1"/>
    </xf>
    <xf numFmtId="0" fontId="1" fillId="0" borderId="25" xfId="0" applyFont="1" applyBorder="1" applyAlignment="1" applyProtection="1">
      <alignment vertical="center"/>
      <protection hidden="1"/>
    </xf>
    <xf numFmtId="0" fontId="23" fillId="0" borderId="25" xfId="0" applyFont="1" applyBorder="1" applyAlignment="1" applyProtection="1">
      <alignment vertical="center"/>
      <protection hidden="1"/>
    </xf>
    <xf numFmtId="3" fontId="75" fillId="0" borderId="26" xfId="0" applyNumberFormat="1" applyFont="1" applyFill="1" applyBorder="1" applyAlignment="1" applyProtection="1">
      <alignment horizontal="right"/>
      <protection hidden="1"/>
    </xf>
    <xf numFmtId="0" fontId="74" fillId="0" borderId="25" xfId="0" applyFont="1" applyBorder="1" applyAlignment="1" applyProtection="1">
      <alignment horizontal="left" vertical="center"/>
      <protection hidden="1"/>
    </xf>
    <xf numFmtId="3" fontId="74" fillId="0" borderId="26" xfId="0" applyNumberFormat="1" applyFont="1" applyFill="1" applyBorder="1" applyAlignment="1" applyProtection="1">
      <alignment horizontal="right"/>
      <protection hidden="1"/>
    </xf>
    <xf numFmtId="0" fontId="17" fillId="0" borderId="29" xfId="0" applyFont="1" applyBorder="1" applyProtection="1">
      <protection hidden="1"/>
    </xf>
    <xf numFmtId="0" fontId="68" fillId="0" borderId="18" xfId="0" applyFont="1" applyBorder="1" applyProtection="1">
      <protection hidden="1"/>
    </xf>
    <xf numFmtId="166" fontId="17" fillId="0" borderId="30" xfId="0" applyNumberFormat="1" applyFont="1" applyBorder="1" applyProtection="1">
      <protection hidden="1"/>
    </xf>
    <xf numFmtId="0" fontId="0" fillId="0" borderId="31" xfId="0" applyBorder="1" applyProtection="1">
      <protection hidden="1"/>
    </xf>
    <xf numFmtId="0" fontId="19" fillId="0" borderId="25" xfId="0" applyFont="1" applyBorder="1" applyAlignment="1" applyProtection="1">
      <alignment horizontal="center"/>
      <protection hidden="1"/>
    </xf>
    <xf numFmtId="43" fontId="0" fillId="0" borderId="25" xfId="1" quotePrefix="1" applyFont="1" applyBorder="1" applyAlignment="1" applyProtection="1">
      <alignment horizontal="right"/>
      <protection hidden="1"/>
    </xf>
    <xf numFmtId="0" fontId="1" fillId="0" borderId="25" xfId="0" quotePrefix="1" applyNumberFormat="1" applyFont="1" applyFill="1" applyBorder="1" applyAlignment="1" applyProtection="1">
      <alignment horizontal="right"/>
      <protection hidden="1"/>
    </xf>
    <xf numFmtId="37" fontId="0" fillId="0" borderId="28" xfId="2" applyNumberFormat="1" applyFont="1" applyBorder="1" applyProtection="1">
      <protection hidden="1"/>
    </xf>
    <xf numFmtId="0" fontId="0" fillId="0" borderId="25" xfId="0" quotePrefix="1" applyBorder="1" applyAlignment="1" applyProtection="1">
      <alignment horizontal="right"/>
      <protection hidden="1"/>
    </xf>
    <xf numFmtId="37" fontId="55" fillId="0" borderId="26" xfId="2" applyNumberFormat="1" applyFont="1" applyBorder="1" applyProtection="1">
      <protection hidden="1"/>
    </xf>
    <xf numFmtId="0" fontId="1" fillId="0" borderId="18" xfId="0" applyNumberFormat="1" applyFont="1" applyFill="1" applyBorder="1" applyAlignment="1" applyProtection="1">
      <alignment horizontal="right" wrapText="1"/>
      <protection hidden="1"/>
    </xf>
    <xf numFmtId="37" fontId="0" fillId="0" borderId="30" xfId="2" applyNumberFormat="1" applyFont="1" applyBorder="1" applyProtection="1">
      <protection hidden="1"/>
    </xf>
    <xf numFmtId="0" fontId="68" fillId="0" borderId="0" xfId="0" applyFont="1" applyBorder="1" applyAlignment="1" applyProtection="1">
      <alignment wrapText="1"/>
      <protection hidden="1"/>
    </xf>
    <xf numFmtId="0" fontId="68" fillId="0" borderId="9" xfId="0" applyFont="1" applyBorder="1" applyAlignment="1" applyProtection="1">
      <alignment wrapText="1"/>
      <protection hidden="1"/>
    </xf>
    <xf numFmtId="0" fontId="1" fillId="0" borderId="25" xfId="0" applyFont="1" applyBorder="1" applyAlignment="1" applyProtection="1">
      <alignment horizontal="left" indent="1"/>
      <protection hidden="1"/>
    </xf>
    <xf numFmtId="0" fontId="0" fillId="0" borderId="27" xfId="0" quotePrefix="1" applyBorder="1" applyAlignment="1" applyProtection="1">
      <alignment horizontal="right"/>
      <protection hidden="1"/>
    </xf>
    <xf numFmtId="43" fontId="1" fillId="0" borderId="25" xfId="1" quotePrefix="1" applyFont="1" applyBorder="1" applyAlignment="1" applyProtection="1">
      <alignment horizontal="right"/>
      <protection hidden="1"/>
    </xf>
    <xf numFmtId="37" fontId="0" fillId="0" borderId="26" xfId="0" applyNumberFormat="1" applyBorder="1" applyProtection="1">
      <protection hidden="1"/>
    </xf>
    <xf numFmtId="0" fontId="55" fillId="0" borderId="29" xfId="0" applyFont="1" applyBorder="1" applyAlignment="1" applyProtection="1">
      <alignment horizontal="right"/>
      <protection hidden="1"/>
    </xf>
    <xf numFmtId="0" fontId="55" fillId="0" borderId="18" xfId="0" applyFont="1" applyBorder="1" applyProtection="1">
      <protection hidden="1"/>
    </xf>
    <xf numFmtId="166" fontId="55" fillId="0" borderId="30" xfId="0" applyNumberFormat="1" applyFont="1" applyBorder="1" applyProtection="1">
      <protection hidden="1"/>
    </xf>
    <xf numFmtId="166" fontId="1" fillId="0" borderId="26" xfId="0" applyNumberFormat="1" applyFont="1" applyBorder="1" applyProtection="1">
      <protection hidden="1"/>
    </xf>
    <xf numFmtId="0" fontId="1" fillId="0" borderId="26" xfId="0" applyFont="1" applyBorder="1" applyProtection="1">
      <protection hidden="1"/>
    </xf>
    <xf numFmtId="37" fontId="1" fillId="0" borderId="26" xfId="2" applyNumberFormat="1" applyFont="1" applyBorder="1" applyProtection="1">
      <protection hidden="1"/>
    </xf>
    <xf numFmtId="0" fontId="1" fillId="0" borderId="0" xfId="0" applyFont="1" applyBorder="1" applyAlignment="1" applyProtection="1">
      <protection hidden="1"/>
    </xf>
    <xf numFmtId="37" fontId="1" fillId="0" borderId="26" xfId="0" applyNumberFormat="1" applyFont="1" applyBorder="1" applyProtection="1">
      <protection hidden="1"/>
    </xf>
    <xf numFmtId="0" fontId="27" fillId="0" borderId="25" xfId="0" quotePrefix="1" applyNumberFormat="1" applyFont="1" applyFill="1" applyBorder="1" applyAlignment="1" applyProtection="1">
      <alignment horizontal="right"/>
      <protection hidden="1"/>
    </xf>
    <xf numFmtId="0" fontId="27" fillId="0" borderId="0" xfId="0" applyNumberFormat="1" applyFont="1" applyFill="1" applyBorder="1" applyAlignment="1" applyProtection="1">
      <alignment horizontal="right" wrapText="1"/>
      <protection hidden="1"/>
    </xf>
    <xf numFmtId="37" fontId="27" fillId="0" borderId="26" xfId="2" applyNumberFormat="1" applyFont="1" applyBorder="1" applyProtection="1">
      <protection hidden="1"/>
    </xf>
    <xf numFmtId="0" fontId="27" fillId="0" borderId="25" xfId="0" quotePrefix="1" applyFont="1" applyBorder="1" applyAlignment="1" applyProtection="1">
      <alignment horizontal="right"/>
      <protection hidden="1"/>
    </xf>
    <xf numFmtId="0" fontId="27" fillId="0" borderId="0" xfId="0" applyFont="1" applyBorder="1" applyProtection="1">
      <protection hidden="1"/>
    </xf>
    <xf numFmtId="0" fontId="1" fillId="0" borderId="0" xfId="0" applyNumberFormat="1" applyFont="1" applyFill="1" applyBorder="1" applyAlignment="1" applyProtection="1">
      <alignment horizontal="right" wrapText="1"/>
      <protection hidden="1"/>
    </xf>
    <xf numFmtId="0" fontId="1" fillId="0" borderId="0" xfId="0" applyNumberFormat="1" applyFont="1" applyFill="1" applyBorder="1" applyAlignment="1" applyProtection="1">
      <alignment horizontal="left" wrapText="1"/>
      <protection hidden="1"/>
    </xf>
    <xf numFmtId="170" fontId="1" fillId="0" borderId="26" xfId="1" applyNumberFormat="1" applyFont="1" applyBorder="1" applyProtection="1">
      <protection hidden="1"/>
    </xf>
    <xf numFmtId="1" fontId="4" fillId="0" borderId="10" xfId="2" applyNumberFormat="1" applyFont="1" applyFill="1" applyBorder="1" applyAlignment="1" applyProtection="1">
      <alignment horizontal="right"/>
      <protection locked="0"/>
    </xf>
    <xf numFmtId="1" fontId="4" fillId="0" borderId="26" xfId="2" applyNumberFormat="1" applyFont="1" applyFill="1" applyBorder="1" applyAlignment="1" applyProtection="1">
      <alignment horizontal="right"/>
      <protection locked="0"/>
    </xf>
    <xf numFmtId="0" fontId="42" fillId="0" borderId="0" xfId="0" applyNumberFormat="1" applyFont="1" applyFill="1" applyBorder="1" applyAlignment="1" applyProtection="1">
      <alignment horizontal="center"/>
    </xf>
    <xf numFmtId="0" fontId="49" fillId="0" borderId="0" xfId="0" applyNumberFormat="1" applyFont="1" applyFill="1" applyBorder="1" applyAlignment="1" applyProtection="1"/>
    <xf numFmtId="5" fontId="49" fillId="0" borderId="16" xfId="0" applyNumberFormat="1" applyFont="1" applyFill="1" applyBorder="1" applyAlignment="1"/>
    <xf numFmtId="1" fontId="42" fillId="0" borderId="0" xfId="0" applyNumberFormat="1" applyFont="1" applyFill="1" applyBorder="1" applyAlignment="1" applyProtection="1"/>
    <xf numFmtId="0" fontId="1" fillId="0" borderId="0" xfId="0" applyFont="1" applyAlignment="1">
      <alignment horizontal="center" vertical="top" wrapTex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4" xfId="0" applyFont="1" applyBorder="1" applyAlignment="1">
      <alignment horizontal="center" vertical="center" wrapText="1"/>
    </xf>
    <xf numFmtId="165" fontId="0" fillId="0" borderId="0" xfId="0" applyNumberFormat="1" applyAlignment="1">
      <alignment horizontal="center"/>
    </xf>
    <xf numFmtId="0" fontId="18" fillId="0" borderId="0" xfId="0" applyFont="1" applyAlignment="1">
      <alignment horizontal="center"/>
    </xf>
    <xf numFmtId="165" fontId="7" fillId="0" borderId="0" xfId="0" applyNumberFormat="1" applyFont="1" applyFill="1" applyBorder="1" applyAlignment="1" applyProtection="1">
      <alignment horizontal="right"/>
      <protection locked="0"/>
    </xf>
    <xf numFmtId="0" fontId="37" fillId="0" borderId="0" xfId="0" applyNumberFormat="1" applyFont="1" applyFill="1" applyBorder="1" applyAlignment="1" applyProtection="1">
      <alignment horizontal="right"/>
    </xf>
    <xf numFmtId="14" fontId="64" fillId="0" borderId="0" xfId="1" applyNumberFormat="1" applyFont="1" applyBorder="1" applyAlignment="1" applyProtection="1">
      <alignment horizontal="right"/>
    </xf>
    <xf numFmtId="165" fontId="54" fillId="0" borderId="0" xfId="0" applyNumberFormat="1" applyFont="1" applyFill="1" applyBorder="1" applyAlignment="1" applyProtection="1">
      <alignment horizontal="right"/>
      <protection locked="0"/>
    </xf>
    <xf numFmtId="0" fontId="37" fillId="0" borderId="0" xfId="0" applyFont="1" applyAlignment="1">
      <alignment horizontal="right" vertical="center"/>
    </xf>
    <xf numFmtId="0" fontId="37" fillId="0" borderId="0" xfId="0" applyFont="1" applyAlignment="1">
      <alignment horizontal="left" vertical="center"/>
    </xf>
    <xf numFmtId="0" fontId="36" fillId="0" borderId="0" xfId="0" applyFont="1" applyAlignment="1">
      <alignment horizontal="left" vertical="center"/>
    </xf>
    <xf numFmtId="0" fontId="35" fillId="0" borderId="0" xfId="0" applyFont="1" applyAlignment="1">
      <alignment horizontal="center" vertical="center" wrapText="1"/>
    </xf>
    <xf numFmtId="166" fontId="35" fillId="0" borderId="0" xfId="0" applyNumberFormat="1" applyFont="1" applyAlignment="1">
      <alignment horizontal="center" vertical="center"/>
    </xf>
    <xf numFmtId="0" fontId="36" fillId="0" borderId="0" xfId="0" applyNumberFormat="1" applyFont="1" applyFill="1" applyBorder="1" applyAlignment="1" applyProtection="1">
      <alignment horizontal="left" vertical="center"/>
    </xf>
    <xf numFmtId="14" fontId="36" fillId="0" borderId="0" xfId="0" applyNumberFormat="1" applyFont="1" applyAlignment="1" applyProtection="1">
      <alignment horizontal="right"/>
      <protection hidden="1"/>
    </xf>
    <xf numFmtId="0" fontId="36" fillId="0" borderId="0" xfId="0" applyFont="1" applyAlignment="1" applyProtection="1">
      <alignment horizontal="right"/>
      <protection hidden="1"/>
    </xf>
    <xf numFmtId="0" fontId="1" fillId="0" borderId="9" xfId="0" applyFont="1" applyBorder="1" applyAlignment="1" applyProtection="1">
      <alignment horizontal="right"/>
      <protection hidden="1"/>
    </xf>
    <xf numFmtId="0" fontId="1" fillId="0" borderId="0" xfId="0" applyFont="1" applyBorder="1" applyAlignment="1" applyProtection="1">
      <alignment horizontal="right"/>
      <protection hidden="1"/>
    </xf>
    <xf numFmtId="0" fontId="23" fillId="0" borderId="10" xfId="0" applyFont="1" applyBorder="1" applyAlignment="1" applyProtection="1">
      <alignment horizontal="center" vertical="center"/>
      <protection hidden="1"/>
    </xf>
    <xf numFmtId="0" fontId="23" fillId="0" borderId="26" xfId="0" applyFont="1" applyBorder="1" applyAlignment="1" applyProtection="1">
      <alignment horizontal="center" vertical="center"/>
      <protection hidden="1"/>
    </xf>
    <xf numFmtId="0" fontId="23" fillId="0" borderId="24" xfId="0" applyFont="1" applyBorder="1" applyAlignment="1" applyProtection="1">
      <alignment horizontal="center" vertical="center"/>
      <protection hidden="1"/>
    </xf>
    <xf numFmtId="0" fontId="21" fillId="0" borderId="7" xfId="0" applyFont="1" applyBorder="1" applyAlignment="1" applyProtection="1">
      <alignment horizontal="left" vertical="center"/>
      <protection hidden="1"/>
    </xf>
    <xf numFmtId="0" fontId="21" fillId="0" borderId="5" xfId="0" applyFont="1" applyBorder="1" applyAlignment="1" applyProtection="1">
      <alignment horizontal="left" vertical="center"/>
      <protection hidden="1"/>
    </xf>
    <xf numFmtId="0" fontId="21" fillId="0" borderId="9" xfId="0" applyFont="1" applyBorder="1" applyAlignment="1" applyProtection="1">
      <alignment horizontal="left" vertical="center"/>
      <protection hidden="1"/>
    </xf>
    <xf numFmtId="0" fontId="21" fillId="0" borderId="0" xfId="0" applyFont="1" applyBorder="1" applyAlignment="1" applyProtection="1">
      <alignment horizontal="left" vertical="center"/>
      <protection hidden="1"/>
    </xf>
    <xf numFmtId="0" fontId="19" fillId="0" borderId="25" xfId="0" applyFont="1" applyBorder="1" applyAlignment="1" applyProtection="1">
      <alignment horizontal="left"/>
      <protection hidden="1"/>
    </xf>
    <xf numFmtId="0" fontId="19" fillId="0" borderId="0" xfId="0" applyFont="1" applyBorder="1" applyAlignment="1" applyProtection="1">
      <alignment horizontal="left"/>
      <protection hidden="1"/>
    </xf>
    <xf numFmtId="0" fontId="19" fillId="0" borderId="9" xfId="0" applyFont="1" applyBorder="1" applyAlignment="1" applyProtection="1">
      <alignment horizontal="left"/>
      <protection hidden="1"/>
    </xf>
    <xf numFmtId="0" fontId="19" fillId="0" borderId="26" xfId="0" applyFont="1" applyBorder="1" applyAlignment="1" applyProtection="1">
      <alignment horizontal="left"/>
      <protection hidden="1"/>
    </xf>
    <xf numFmtId="14" fontId="37" fillId="0" borderId="18" xfId="0" applyNumberFormat="1" applyFont="1" applyBorder="1" applyAlignment="1" applyProtection="1">
      <alignment horizontal="right"/>
      <protection hidden="1"/>
    </xf>
    <xf numFmtId="165" fontId="37" fillId="0" borderId="18" xfId="0" applyNumberFormat="1" applyFont="1" applyBorder="1" applyAlignment="1" applyProtection="1">
      <alignment horizontal="right"/>
      <protection hidden="1"/>
    </xf>
    <xf numFmtId="0" fontId="19" fillId="0" borderId="0" xfId="0" applyFont="1" applyAlignment="1" applyProtection="1">
      <alignment horizontal="center" vertical="center"/>
      <protection hidden="1"/>
    </xf>
    <xf numFmtId="0" fontId="5" fillId="0" borderId="11" xfId="0" applyFont="1" applyBorder="1" applyAlignment="1" applyProtection="1">
      <alignment horizontal="left"/>
      <protection hidden="1"/>
    </xf>
    <xf numFmtId="0" fontId="5" fillId="0" borderId="4" xfId="0" applyFont="1" applyBorder="1" applyAlignment="1" applyProtection="1">
      <alignment horizontal="left"/>
      <protection hidden="1"/>
    </xf>
    <xf numFmtId="0" fontId="19" fillId="0" borderId="20" xfId="0" applyFont="1" applyBorder="1" applyAlignment="1" applyProtection="1">
      <alignment horizontal="center"/>
      <protection hidden="1"/>
    </xf>
    <xf numFmtId="0" fontId="19" fillId="0" borderId="21" xfId="0" applyFont="1" applyBorder="1" applyAlignment="1" applyProtection="1">
      <alignment horizontal="center"/>
      <protection hidden="1"/>
    </xf>
    <xf numFmtId="0" fontId="19" fillId="0" borderId="22" xfId="0" applyFont="1" applyBorder="1" applyAlignment="1" applyProtection="1">
      <alignment horizontal="center"/>
      <protection hidden="1"/>
    </xf>
    <xf numFmtId="0" fontId="21" fillId="0" borderId="23" xfId="0" applyFont="1" applyBorder="1" applyAlignment="1" applyProtection="1">
      <alignment horizontal="left" vertical="center"/>
      <protection hidden="1"/>
    </xf>
    <xf numFmtId="0" fontId="21" fillId="0" borderId="25" xfId="0" applyFont="1" applyBorder="1" applyAlignment="1" applyProtection="1">
      <alignment horizontal="left" vertical="center"/>
      <protection hidden="1"/>
    </xf>
    <xf numFmtId="0" fontId="23" fillId="0" borderId="8" xfId="0" applyFont="1" applyBorder="1" applyAlignment="1" applyProtection="1">
      <alignment horizontal="center" vertical="center"/>
      <protection hidden="1"/>
    </xf>
    <xf numFmtId="164" fontId="21" fillId="0" borderId="25" xfId="0" applyNumberFormat="1" applyFont="1" applyBorder="1" applyAlignment="1" applyProtection="1">
      <alignment horizontal="left" vertical="center"/>
      <protection hidden="1"/>
    </xf>
    <xf numFmtId="0" fontId="21" fillId="0" borderId="7" xfId="0" applyFont="1" applyBorder="1" applyAlignment="1" applyProtection="1">
      <alignment horizontal="left"/>
      <protection hidden="1"/>
    </xf>
    <xf numFmtId="0" fontId="21" fillId="0" borderId="5" xfId="0" applyFont="1" applyBorder="1" applyAlignment="1" applyProtection="1">
      <alignment horizontal="left"/>
      <protection hidden="1"/>
    </xf>
    <xf numFmtId="0" fontId="21" fillId="0" borderId="24" xfId="0" applyFont="1" applyBorder="1" applyAlignment="1" applyProtection="1">
      <alignment horizontal="left"/>
      <protection hidden="1"/>
    </xf>
    <xf numFmtId="0" fontId="21" fillId="0" borderId="9" xfId="0" applyFont="1" applyBorder="1" applyAlignment="1" applyProtection="1">
      <alignment horizontal="left"/>
      <protection hidden="1"/>
    </xf>
    <xf numFmtId="0" fontId="21" fillId="0" borderId="0" xfId="0" applyFont="1" applyBorder="1" applyAlignment="1" applyProtection="1">
      <alignment horizontal="left"/>
      <protection hidden="1"/>
    </xf>
    <xf numFmtId="0" fontId="21" fillId="0" borderId="26" xfId="0" applyFont="1" applyBorder="1" applyAlignment="1" applyProtection="1">
      <alignment horizontal="left"/>
      <protection hidden="1"/>
    </xf>
    <xf numFmtId="0" fontId="37" fillId="0" borderId="0" xfId="0" applyFont="1" applyFill="1" applyAlignment="1" applyProtection="1">
      <alignment horizontal="left" vertical="center" wrapText="1"/>
      <protection hidden="1"/>
    </xf>
    <xf numFmtId="0" fontId="21" fillId="0" borderId="11" xfId="0" applyFont="1" applyBorder="1" applyAlignment="1" applyProtection="1">
      <alignment horizontal="left" indent="1"/>
      <protection hidden="1"/>
    </xf>
    <xf numFmtId="0" fontId="21" fillId="0" borderId="4" xfId="0" applyFont="1" applyBorder="1" applyAlignment="1" applyProtection="1">
      <alignment horizontal="left" indent="1"/>
      <protection hidden="1"/>
    </xf>
    <xf numFmtId="0" fontId="21" fillId="0" borderId="23" xfId="0" applyFont="1" applyBorder="1" applyAlignment="1" applyProtection="1">
      <alignment horizontal="left"/>
      <protection hidden="1"/>
    </xf>
    <xf numFmtId="0" fontId="21" fillId="0" borderId="25" xfId="0" applyFont="1" applyBorder="1" applyAlignment="1" applyProtection="1">
      <alignment horizontal="left"/>
      <protection hidden="1"/>
    </xf>
    <xf numFmtId="0" fontId="25" fillId="0" borderId="9" xfId="0" applyFont="1" applyBorder="1" applyAlignment="1" applyProtection="1">
      <alignment horizontal="right"/>
      <protection hidden="1"/>
    </xf>
    <xf numFmtId="0" fontId="25" fillId="0" borderId="0" xfId="0" applyFont="1" applyBorder="1" applyAlignment="1" applyProtection="1">
      <alignment horizontal="right"/>
      <protection hidden="1"/>
    </xf>
    <xf numFmtId="0" fontId="1" fillId="0" borderId="18" xfId="0" applyFont="1" applyBorder="1" applyAlignment="1" applyProtection="1">
      <alignment horizontal="right"/>
      <protection hidden="1"/>
    </xf>
    <xf numFmtId="0" fontId="21" fillId="0" borderId="31" xfId="0" applyFont="1" applyBorder="1" applyAlignment="1" applyProtection="1">
      <alignment horizontal="center" vertical="center"/>
      <protection hidden="1"/>
    </xf>
    <xf numFmtId="0" fontId="21" fillId="0" borderId="32" xfId="0" applyFont="1" applyBorder="1" applyAlignment="1" applyProtection="1">
      <alignment horizontal="center" vertical="center"/>
      <protection hidden="1"/>
    </xf>
    <xf numFmtId="0" fontId="21" fillId="0" borderId="33" xfId="0" applyFont="1" applyBorder="1" applyAlignment="1" applyProtection="1">
      <alignment horizontal="center" vertical="center"/>
      <protection hidden="1"/>
    </xf>
    <xf numFmtId="0" fontId="21" fillId="0" borderId="25" xfId="0" applyFont="1" applyBorder="1" applyAlignment="1" applyProtection="1">
      <alignment horizontal="center" vertical="center"/>
      <protection hidden="1"/>
    </xf>
    <xf numFmtId="0" fontId="21" fillId="0" borderId="0" xfId="0" applyFont="1" applyBorder="1" applyAlignment="1" applyProtection="1">
      <alignment horizontal="center" vertical="center"/>
      <protection hidden="1"/>
    </xf>
    <xf numFmtId="0" fontId="21" fillId="0" borderId="26" xfId="0" applyFont="1" applyBorder="1" applyAlignment="1" applyProtection="1">
      <alignment horizontal="center" vertical="center"/>
      <protection hidden="1"/>
    </xf>
    <xf numFmtId="167" fontId="19" fillId="0" borderId="18" xfId="0" applyNumberFormat="1" applyFont="1" applyBorder="1" applyAlignment="1" applyProtection="1">
      <alignment horizontal="right" indent="3"/>
      <protection hidden="1"/>
    </xf>
    <xf numFmtId="0" fontId="19" fillId="0" borderId="29" xfId="0" applyFont="1" applyBorder="1" applyAlignment="1" applyProtection="1">
      <alignment horizontal="right"/>
      <protection hidden="1"/>
    </xf>
    <xf numFmtId="0" fontId="19" fillId="0" borderId="18" xfId="0" applyFont="1" applyBorder="1" applyAlignment="1" applyProtection="1">
      <alignment horizontal="right"/>
      <protection hidden="1"/>
    </xf>
    <xf numFmtId="0" fontId="0" fillId="0" borderId="5" xfId="0" applyBorder="1" applyAlignment="1" applyProtection="1">
      <alignment horizontal="center"/>
      <protection hidden="1"/>
    </xf>
    <xf numFmtId="0" fontId="0" fillId="0" borderId="24" xfId="0" applyBorder="1" applyAlignment="1" applyProtection="1">
      <alignment horizontal="center"/>
      <protection hidden="1"/>
    </xf>
    <xf numFmtId="0" fontId="5" fillId="0" borderId="25" xfId="0" applyFont="1" applyBorder="1" applyAlignment="1" applyProtection="1">
      <alignment horizontal="right"/>
      <protection hidden="1"/>
    </xf>
    <xf numFmtId="0" fontId="5" fillId="0" borderId="0" xfId="0" applyFont="1" applyBorder="1" applyAlignment="1" applyProtection="1">
      <alignment horizontal="right"/>
      <protection hidden="1"/>
    </xf>
    <xf numFmtId="0" fontId="21" fillId="0" borderId="23" xfId="0" applyFont="1" applyBorder="1" applyAlignment="1" applyProtection="1">
      <alignment horizontal="right"/>
      <protection hidden="1"/>
    </xf>
    <xf numFmtId="0" fontId="21" fillId="0" borderId="5" xfId="0" applyFont="1" applyBorder="1" applyAlignment="1" applyProtection="1">
      <alignment horizontal="right"/>
      <protection hidden="1"/>
    </xf>
    <xf numFmtId="167" fontId="0" fillId="0" borderId="0" xfId="0" applyNumberFormat="1" applyBorder="1" applyAlignment="1" applyProtection="1">
      <alignment horizontal="right"/>
      <protection hidden="1"/>
    </xf>
    <xf numFmtId="167" fontId="1" fillId="0" borderId="0" xfId="0" applyNumberFormat="1" applyFont="1" applyBorder="1" applyAlignment="1" applyProtection="1">
      <alignment horizontal="right"/>
      <protection hidden="1"/>
    </xf>
    <xf numFmtId="0" fontId="19" fillId="0" borderId="25" xfId="0" applyFont="1" applyBorder="1" applyAlignment="1" applyProtection="1">
      <alignment horizontal="right" vertical="center"/>
      <protection hidden="1"/>
    </xf>
    <xf numFmtId="0" fontId="19" fillId="0" borderId="0" xfId="0" applyFont="1" applyBorder="1" applyAlignment="1" applyProtection="1">
      <alignment horizontal="right" vertical="center"/>
      <protection hidden="1"/>
    </xf>
    <xf numFmtId="0" fontId="19" fillId="0" borderId="29" xfId="0" applyFont="1" applyBorder="1" applyAlignment="1" applyProtection="1">
      <alignment horizontal="right" vertical="center"/>
      <protection hidden="1"/>
    </xf>
    <xf numFmtId="0" fontId="19" fillId="0" borderId="18" xfId="0" applyFont="1" applyBorder="1" applyAlignment="1" applyProtection="1">
      <alignment horizontal="right" vertical="center"/>
      <protection hidden="1"/>
    </xf>
    <xf numFmtId="168" fontId="19" fillId="0" borderId="0" xfId="2" applyNumberFormat="1" applyFont="1" applyBorder="1" applyAlignment="1" applyProtection="1">
      <alignment horizontal="left" vertical="center"/>
      <protection hidden="1"/>
    </xf>
    <xf numFmtId="168" fontId="19" fillId="0" borderId="18" xfId="2" applyNumberFormat="1" applyFont="1" applyBorder="1" applyAlignment="1" applyProtection="1">
      <alignment horizontal="left" vertical="center"/>
      <protection hidden="1"/>
    </xf>
    <xf numFmtId="0" fontId="16" fillId="0" borderId="9" xfId="0" applyNumberFormat="1" applyFont="1" applyFill="1" applyBorder="1" applyAlignment="1" applyProtection="1">
      <alignment horizontal="right"/>
      <protection hidden="1"/>
    </xf>
    <xf numFmtId="0" fontId="16" fillId="0" borderId="0" xfId="0" applyNumberFormat="1" applyFont="1" applyFill="1" applyBorder="1" applyAlignment="1" applyProtection="1">
      <alignment horizontal="right"/>
      <protection hidden="1"/>
    </xf>
    <xf numFmtId="0" fontId="5" fillId="0" borderId="9" xfId="0" applyFont="1" applyBorder="1" applyAlignment="1" applyProtection="1">
      <alignment horizontal="right"/>
      <protection hidden="1"/>
    </xf>
    <xf numFmtId="0" fontId="21" fillId="0" borderId="11" xfId="0" applyFont="1" applyBorder="1" applyAlignment="1" applyProtection="1">
      <alignment horizontal="center"/>
      <protection hidden="1"/>
    </xf>
    <xf numFmtId="0" fontId="21" fillId="0" borderId="4" xfId="0" applyFont="1" applyBorder="1" applyAlignment="1" applyProtection="1">
      <alignment horizontal="center"/>
      <protection hidden="1"/>
    </xf>
    <xf numFmtId="0" fontId="0" fillId="0" borderId="0" xfId="0" applyBorder="1" applyAlignment="1" applyProtection="1">
      <alignment horizontal="right"/>
      <protection hidden="1"/>
    </xf>
    <xf numFmtId="0" fontId="22" fillId="0" borderId="9" xfId="0" applyNumberFormat="1" applyFont="1" applyFill="1" applyBorder="1" applyAlignment="1" applyProtection="1">
      <alignment horizontal="right"/>
      <protection hidden="1"/>
    </xf>
    <xf numFmtId="0" fontId="22" fillId="0" borderId="0" xfId="0" applyNumberFormat="1" applyFont="1" applyFill="1" applyBorder="1" applyAlignment="1" applyProtection="1">
      <alignment horizontal="right"/>
      <protection hidden="1"/>
    </xf>
    <xf numFmtId="0" fontId="5" fillId="0" borderId="0" xfId="0" applyFont="1" applyBorder="1" applyAlignment="1" applyProtection="1">
      <alignment horizontal="left" indent="3"/>
      <protection hidden="1"/>
    </xf>
    <xf numFmtId="0" fontId="27" fillId="0" borderId="0" xfId="0" applyFont="1" applyBorder="1" applyAlignment="1" applyProtection="1">
      <alignment horizontal="right"/>
      <protection hidden="1"/>
    </xf>
    <xf numFmtId="0" fontId="5" fillId="0" borderId="18" xfId="0" applyFont="1" applyBorder="1" applyAlignment="1" applyProtection="1">
      <alignment horizontal="left" indent="3"/>
      <protection hidden="1"/>
    </xf>
    <xf numFmtId="0" fontId="5" fillId="0" borderId="25" xfId="0" applyFont="1" applyBorder="1" applyAlignment="1" applyProtection="1">
      <alignment horizontal="left"/>
      <protection hidden="1"/>
    </xf>
    <xf numFmtId="0" fontId="5" fillId="0" borderId="29" xfId="0" applyFont="1" applyBorder="1" applyAlignment="1" applyProtection="1">
      <alignment horizontal="left"/>
      <protection hidden="1"/>
    </xf>
    <xf numFmtId="42" fontId="5" fillId="0" borderId="0" xfId="0" applyNumberFormat="1" applyFont="1" applyBorder="1" applyAlignment="1" applyProtection="1">
      <alignment horizontal="center"/>
      <protection hidden="1"/>
    </xf>
    <xf numFmtId="42" fontId="5" fillId="0" borderId="18" xfId="0" applyNumberFormat="1" applyFont="1" applyBorder="1" applyAlignment="1" applyProtection="1">
      <alignment horizontal="center"/>
      <protection hidden="1"/>
    </xf>
    <xf numFmtId="0" fontId="70" fillId="0" borderId="0" xfId="0" applyFont="1" applyFill="1" applyBorder="1" applyAlignment="1" applyProtection="1">
      <alignment horizontal="center"/>
      <protection hidden="1"/>
    </xf>
    <xf numFmtId="0" fontId="1" fillId="0" borderId="0" xfId="0" applyFont="1" applyFill="1" applyBorder="1" applyAlignment="1" applyProtection="1">
      <alignment horizontal="center" wrapText="1"/>
      <protection hidden="1"/>
    </xf>
    <xf numFmtId="0" fontId="1" fillId="0" borderId="0" xfId="0" applyFont="1" applyFill="1" applyBorder="1" applyAlignment="1" applyProtection="1">
      <alignment horizontal="center"/>
      <protection hidden="1"/>
    </xf>
    <xf numFmtId="0" fontId="0" fillId="0" borderId="0" xfId="0" applyFill="1" applyBorder="1" applyAlignment="1" applyProtection="1">
      <alignment horizontal="center"/>
      <protection hidden="1"/>
    </xf>
    <xf numFmtId="0" fontId="19" fillId="0" borderId="7" xfId="0" applyFont="1" applyFill="1" applyBorder="1" applyAlignment="1" applyProtection="1">
      <alignment horizontal="left"/>
      <protection hidden="1"/>
    </xf>
    <xf numFmtId="0" fontId="19" fillId="0" borderId="5" xfId="0" applyFont="1" applyFill="1" applyBorder="1" applyAlignment="1" applyProtection="1">
      <alignment horizontal="left"/>
      <protection hidden="1"/>
    </xf>
    <xf numFmtId="0" fontId="68" fillId="0" borderId="0" xfId="0" applyFont="1" applyBorder="1" applyAlignment="1" applyProtection="1">
      <alignment horizontal="right" wrapText="1"/>
      <protection hidden="1"/>
    </xf>
    <xf numFmtId="0" fontId="0" fillId="0" borderId="0" xfId="0" applyAlignment="1" applyProtection="1">
      <alignment horizontal="center"/>
      <protection hidden="1"/>
    </xf>
    <xf numFmtId="0" fontId="68" fillId="0" borderId="0" xfId="0" applyFont="1" applyBorder="1" applyAlignment="1" applyProtection="1">
      <alignment horizontal="center" wrapText="1"/>
      <protection hidden="1"/>
    </xf>
    <xf numFmtId="3" fontId="68" fillId="0" borderId="4" xfId="0" applyNumberFormat="1" applyFont="1" applyBorder="1" applyAlignment="1" applyProtection="1">
      <alignment horizontal="center"/>
      <protection hidden="1"/>
    </xf>
    <xf numFmtId="3" fontId="68" fillId="0" borderId="2" xfId="0" applyNumberFormat="1" applyFont="1" applyBorder="1" applyAlignment="1" applyProtection="1">
      <alignment horizontal="center"/>
      <protection hidden="1"/>
    </xf>
    <xf numFmtId="3" fontId="67" fillId="0" borderId="5" xfId="0" applyNumberFormat="1" applyFont="1" applyBorder="1" applyAlignment="1" applyProtection="1">
      <alignment horizontal="right"/>
      <protection hidden="1"/>
    </xf>
    <xf numFmtId="3" fontId="67" fillId="0" borderId="0" xfId="0" applyNumberFormat="1" applyFont="1" applyBorder="1" applyAlignment="1" applyProtection="1">
      <alignment horizontal="right"/>
      <protection hidden="1"/>
    </xf>
    <xf numFmtId="0" fontId="70" fillId="0" borderId="0" xfId="0" applyFont="1" applyBorder="1" applyAlignment="1" applyProtection="1">
      <alignment horizontal="center"/>
      <protection hidden="1"/>
    </xf>
    <xf numFmtId="0" fontId="68" fillId="0" borderId="0" xfId="0" applyFont="1" applyAlignment="1" applyProtection="1">
      <alignment horizontal="center" wrapText="1"/>
      <protection hidden="1"/>
    </xf>
    <xf numFmtId="0" fontId="70" fillId="0" borderId="0" xfId="0" applyFont="1" applyAlignment="1" applyProtection="1">
      <alignment horizontal="center"/>
      <protection hidden="1"/>
    </xf>
    <xf numFmtId="0" fontId="17" fillId="0" borderId="31" xfId="0" applyFont="1" applyBorder="1" applyAlignment="1" applyProtection="1">
      <alignment horizontal="center"/>
      <protection hidden="1"/>
    </xf>
    <xf numFmtId="0" fontId="17" fillId="0" borderId="32" xfId="0" applyFont="1" applyBorder="1" applyAlignment="1" applyProtection="1">
      <alignment horizontal="center"/>
      <protection hidden="1"/>
    </xf>
    <xf numFmtId="14" fontId="19" fillId="0" borderId="0" xfId="0" applyNumberFormat="1" applyFont="1" applyAlignment="1" applyProtection="1">
      <alignment horizontal="right"/>
      <protection hidden="1"/>
    </xf>
    <xf numFmtId="0" fontId="67" fillId="0" borderId="0" xfId="0" applyNumberFormat="1" applyFont="1" applyBorder="1" applyAlignment="1" applyProtection="1">
      <alignment horizontal="right"/>
      <protection hidden="1"/>
    </xf>
    <xf numFmtId="0" fontId="68" fillId="0" borderId="4" xfId="0" applyNumberFormat="1" applyFont="1" applyBorder="1" applyAlignment="1" applyProtection="1">
      <alignment horizontal="center"/>
      <protection hidden="1"/>
    </xf>
    <xf numFmtId="0" fontId="17" fillId="0" borderId="0" xfId="0" applyFont="1" applyBorder="1" applyAlignment="1" applyProtection="1">
      <alignment horizontal="center"/>
      <protection hidden="1"/>
    </xf>
    <xf numFmtId="0" fontId="21" fillId="0" borderId="0" xfId="0" applyFont="1" applyBorder="1" applyAlignment="1" applyProtection="1">
      <alignment horizontal="center"/>
      <protection hidden="1"/>
    </xf>
    <xf numFmtId="5" fontId="1" fillId="0" borderId="0" xfId="0" applyNumberFormat="1" applyFont="1" applyFill="1" applyBorder="1" applyAlignment="1" applyProtection="1">
      <alignment horizontal="right" wrapText="1"/>
      <protection hidden="1"/>
    </xf>
    <xf numFmtId="5" fontId="0" fillId="0" borderId="0" xfId="0" applyNumberFormat="1" applyFont="1" applyFill="1" applyBorder="1" applyAlignment="1" applyProtection="1">
      <alignment horizontal="right" wrapText="1"/>
      <protection hidden="1"/>
    </xf>
    <xf numFmtId="0" fontId="1" fillId="0" borderId="0" xfId="0" applyNumberFormat="1" applyFont="1" applyFill="1" applyBorder="1" applyAlignment="1" applyProtection="1">
      <alignment horizontal="right" wrapText="1"/>
      <protection hidden="1"/>
    </xf>
    <xf numFmtId="0" fontId="67" fillId="0" borderId="0" xfId="0" applyNumberFormat="1" applyFont="1" applyAlignment="1" applyProtection="1">
      <alignment horizontal="right"/>
      <protection hidden="1"/>
    </xf>
    <xf numFmtId="0" fontId="21" fillId="0" borderId="5" xfId="0" applyFont="1" applyBorder="1" applyAlignment="1" applyProtection="1">
      <alignment horizontal="center"/>
      <protection hidden="1"/>
    </xf>
    <xf numFmtId="0" fontId="19" fillId="0" borderId="31" xfId="0" applyFont="1" applyBorder="1" applyAlignment="1" applyProtection="1">
      <alignment horizontal="center"/>
      <protection hidden="1"/>
    </xf>
    <xf numFmtId="0" fontId="19" fillId="0" borderId="32" xfId="0" applyFont="1" applyBorder="1" applyAlignment="1" applyProtection="1">
      <alignment horizontal="center"/>
      <protection hidden="1"/>
    </xf>
    <xf numFmtId="0" fontId="19" fillId="0" borderId="33" xfId="0" applyFont="1" applyBorder="1" applyAlignment="1" applyProtection="1">
      <alignment horizontal="center"/>
      <protection hidden="1"/>
    </xf>
    <xf numFmtId="0" fontId="68" fillId="0" borderId="10" xfId="0" applyNumberFormat="1" applyFont="1" applyBorder="1" applyAlignment="1" applyProtection="1">
      <alignment horizontal="right"/>
      <protection hidden="1"/>
    </xf>
    <xf numFmtId="0" fontId="19" fillId="0" borderId="0" xfId="0" applyFont="1" applyBorder="1" applyAlignment="1" applyProtection="1">
      <alignment horizontal="center"/>
      <protection hidden="1"/>
    </xf>
    <xf numFmtId="0" fontId="19" fillId="0" borderId="26" xfId="0" applyFont="1" applyBorder="1" applyAlignment="1" applyProtection="1">
      <alignment horizontal="center"/>
      <protection hidden="1"/>
    </xf>
    <xf numFmtId="0" fontId="55" fillId="0" borderId="25" xfId="0" applyFont="1" applyBorder="1" applyAlignment="1" applyProtection="1">
      <alignment horizontal="right"/>
      <protection hidden="1"/>
    </xf>
    <xf numFmtId="0" fontId="55" fillId="0" borderId="0" xfId="0" applyFont="1" applyBorder="1" applyAlignment="1" applyProtection="1">
      <alignment horizontal="right"/>
      <protection hidden="1"/>
    </xf>
    <xf numFmtId="14" fontId="19" fillId="0" borderId="0" xfId="0" applyNumberFormat="1" applyFont="1" applyAlignment="1" applyProtection="1">
      <alignment horizontal="right"/>
    </xf>
    <xf numFmtId="0" fontId="68" fillId="0" borderId="0" xfId="0" applyFont="1" applyAlignment="1" applyProtection="1">
      <alignment horizontal="center" wrapText="1"/>
    </xf>
    <xf numFmtId="0" fontId="70" fillId="0" borderId="0" xfId="0" applyFont="1" applyAlignment="1" applyProtection="1">
      <alignment horizontal="center"/>
    </xf>
    <xf numFmtId="3" fontId="67" fillId="0" borderId="0" xfId="0" applyNumberFormat="1" applyFont="1" applyBorder="1" applyAlignment="1" applyProtection="1">
      <alignment horizontal="right"/>
    </xf>
    <xf numFmtId="3" fontId="67" fillId="0" borderId="10" xfId="0" applyNumberFormat="1" applyFont="1" applyBorder="1" applyAlignment="1" applyProtection="1">
      <alignment horizontal="right"/>
    </xf>
    <xf numFmtId="0" fontId="67" fillId="0" borderId="0" xfId="0" applyNumberFormat="1" applyFont="1" applyBorder="1" applyAlignment="1" applyProtection="1">
      <alignment horizontal="right"/>
    </xf>
    <xf numFmtId="0" fontId="67" fillId="0" borderId="10" xfId="0" applyNumberFormat="1" applyFont="1" applyBorder="1" applyAlignment="1" applyProtection="1">
      <alignment horizontal="right"/>
    </xf>
    <xf numFmtId="0" fontId="68" fillId="0" borderId="4" xfId="0" applyNumberFormat="1" applyFont="1" applyBorder="1" applyAlignment="1" applyProtection="1">
      <alignment horizontal="center"/>
    </xf>
    <xf numFmtId="3" fontId="67" fillId="0" borderId="5" xfId="0" applyNumberFormat="1" applyFont="1" applyBorder="1" applyAlignment="1" applyProtection="1">
      <alignment horizontal="right"/>
    </xf>
    <xf numFmtId="3" fontId="67" fillId="0" borderId="8" xfId="0" applyNumberFormat="1" applyFont="1" applyBorder="1" applyAlignment="1" applyProtection="1">
      <alignment horizontal="right"/>
    </xf>
    <xf numFmtId="3" fontId="68" fillId="0" borderId="4" xfId="0" applyNumberFormat="1" applyFont="1" applyBorder="1" applyAlignment="1" applyProtection="1">
      <alignment horizontal="center"/>
    </xf>
    <xf numFmtId="3" fontId="68" fillId="0" borderId="2" xfId="0" applyNumberFormat="1" applyFont="1" applyBorder="1" applyAlignment="1" applyProtection="1">
      <alignment horizontal="center"/>
    </xf>
    <xf numFmtId="3" fontId="68" fillId="0" borderId="4" xfId="0" quotePrefix="1" applyNumberFormat="1" applyFont="1" applyBorder="1" applyAlignment="1" applyProtection="1">
      <alignment horizontal="center"/>
    </xf>
    <xf numFmtId="0" fontId="67" fillId="0" borderId="0" xfId="0" applyNumberFormat="1" applyFont="1" applyAlignment="1" applyProtection="1">
      <alignment horizontal="right"/>
    </xf>
    <xf numFmtId="0" fontId="68" fillId="0" borderId="10" xfId="0" applyNumberFormat="1" applyFont="1" applyBorder="1" applyAlignment="1" applyProtection="1">
      <alignment horizontal="right"/>
    </xf>
    <xf numFmtId="0" fontId="0" fillId="0" borderId="0" xfId="0" applyAlignment="1" applyProtection="1">
      <alignment horizontal="center"/>
    </xf>
    <xf numFmtId="0" fontId="37" fillId="0" borderId="31" xfId="0" quotePrefix="1" applyNumberFormat="1" applyFont="1" applyFill="1" applyBorder="1" applyAlignment="1" applyProtection="1">
      <alignment horizontal="left"/>
    </xf>
    <xf numFmtId="0" fontId="37" fillId="0" borderId="32" xfId="0" applyNumberFormat="1" applyFont="1" applyFill="1" applyBorder="1" applyAlignment="1" applyProtection="1">
      <alignment horizontal="left"/>
    </xf>
    <xf numFmtId="0" fontId="6" fillId="0" borderId="0" xfId="0" applyNumberFormat="1" applyFont="1" applyFill="1" applyBorder="1" applyAlignment="1" applyProtection="1">
      <alignment horizontal="center" vertical="top"/>
    </xf>
    <xf numFmtId="0" fontId="3" fillId="0" borderId="0" xfId="0" applyNumberFormat="1" applyFont="1" applyFill="1" applyBorder="1" applyAlignment="1" applyProtection="1">
      <alignment horizontal="center" vertical="top"/>
    </xf>
    <xf numFmtId="0" fontId="3" fillId="0" borderId="18" xfId="0" applyNumberFormat="1" applyFont="1" applyFill="1" applyBorder="1" applyAlignment="1" applyProtection="1">
      <alignment horizontal="left" vertical="top" indent="3"/>
    </xf>
    <xf numFmtId="0" fontId="1" fillId="0" borderId="0" xfId="0" applyFont="1" applyAlignment="1">
      <alignment horizontal="right" vertical="center" indent="3"/>
    </xf>
    <xf numFmtId="0" fontId="1" fillId="0" borderId="0" xfId="0" applyFont="1" applyBorder="1" applyAlignment="1">
      <alignment horizontal="left" vertical="center" wrapText="1"/>
    </xf>
    <xf numFmtId="0" fontId="1" fillId="0" borderId="18" xfId="0" applyFont="1" applyBorder="1" applyAlignment="1">
      <alignment horizontal="left" vertical="center" wrapText="1"/>
    </xf>
    <xf numFmtId="0" fontId="17" fillId="0" borderId="0" xfId="0" applyFont="1" applyBorder="1" applyAlignment="1" applyProtection="1">
      <alignment horizontal="center" vertical="center" wrapText="1"/>
    </xf>
    <xf numFmtId="0" fontId="17" fillId="0" borderId="7" xfId="0" applyNumberFormat="1" applyFont="1" applyFill="1" applyBorder="1" applyAlignment="1" applyProtection="1">
      <alignment horizontal="left"/>
    </xf>
    <xf numFmtId="0" fontId="17" fillId="0" borderId="5" xfId="0" applyNumberFormat="1" applyFont="1" applyFill="1" applyBorder="1" applyAlignment="1" applyProtection="1">
      <alignment horizontal="left"/>
    </xf>
    <xf numFmtId="0" fontId="17" fillId="0" borderId="8" xfId="0" applyNumberFormat="1" applyFont="1" applyFill="1" applyBorder="1" applyAlignment="1" applyProtection="1">
      <alignment horizontal="left"/>
    </xf>
    <xf numFmtId="0" fontId="6" fillId="0" borderId="7" xfId="0" applyNumberFormat="1" applyFont="1" applyFill="1" applyBorder="1" applyAlignment="1" applyProtection="1">
      <alignment horizontal="center" vertical="center"/>
      <protection hidden="1"/>
    </xf>
    <xf numFmtId="0" fontId="6" fillId="0" borderId="5" xfId="0" applyNumberFormat="1" applyFont="1" applyFill="1" applyBorder="1" applyAlignment="1" applyProtection="1">
      <alignment horizontal="center" vertical="center"/>
      <protection hidden="1"/>
    </xf>
    <xf numFmtId="0" fontId="6" fillId="0" borderId="8" xfId="0" applyNumberFormat="1" applyFont="1" applyFill="1" applyBorder="1" applyAlignment="1" applyProtection="1">
      <alignment horizontal="center" vertical="center"/>
      <protection hidden="1"/>
    </xf>
    <xf numFmtId="0" fontId="6" fillId="0" borderId="9" xfId="0" applyNumberFormat="1" applyFont="1" applyFill="1" applyBorder="1" applyAlignment="1" applyProtection="1">
      <alignment horizontal="center" vertical="center"/>
      <protection hidden="1"/>
    </xf>
    <xf numFmtId="0" fontId="6" fillId="0" borderId="0" xfId="0" applyNumberFormat="1" applyFont="1" applyFill="1" applyBorder="1" applyAlignment="1" applyProtection="1">
      <alignment horizontal="center" vertical="center"/>
      <protection hidden="1"/>
    </xf>
    <xf numFmtId="0" fontId="6" fillId="0" borderId="10" xfId="0" applyNumberFormat="1" applyFont="1" applyFill="1" applyBorder="1" applyAlignment="1" applyProtection="1">
      <alignment horizontal="center" vertical="center"/>
      <protection hidden="1"/>
    </xf>
    <xf numFmtId="164" fontId="36" fillId="0" borderId="11" xfId="0" applyNumberFormat="1" applyFont="1" applyBorder="1" applyAlignment="1">
      <alignment horizontal="right"/>
    </xf>
    <xf numFmtId="164" fontId="36" fillId="0" borderId="4" xfId="0" applyNumberFormat="1" applyFont="1" applyBorder="1" applyAlignment="1">
      <alignment horizontal="right"/>
    </xf>
    <xf numFmtId="164" fontId="36" fillId="0" borderId="14" xfId="0" applyNumberFormat="1" applyFont="1" applyBorder="1" applyAlignment="1">
      <alignment horizontal="right"/>
    </xf>
    <xf numFmtId="164" fontId="36" fillId="0" borderId="9" xfId="0" applyNumberFormat="1" applyFont="1" applyBorder="1" applyAlignment="1" applyProtection="1">
      <alignment horizontal="right"/>
      <protection hidden="1"/>
    </xf>
    <xf numFmtId="164" fontId="36" fillId="0" borderId="0" xfId="0" applyNumberFormat="1" applyFont="1" applyBorder="1" applyAlignment="1" applyProtection="1">
      <alignment horizontal="right"/>
      <protection hidden="1"/>
    </xf>
    <xf numFmtId="164" fontId="36" fillId="0" borderId="10" xfId="0" applyNumberFormat="1" applyFont="1" applyBorder="1" applyAlignment="1" applyProtection="1">
      <alignment horizontal="right"/>
      <protection hidden="1"/>
    </xf>
    <xf numFmtId="0" fontId="36" fillId="0" borderId="9" xfId="0" applyNumberFormat="1" applyFont="1" applyFill="1" applyBorder="1" applyAlignment="1" applyProtection="1">
      <alignment horizontal="center"/>
    </xf>
    <xf numFmtId="0" fontId="36" fillId="0" borderId="0" xfId="0" applyNumberFormat="1" applyFont="1" applyFill="1" applyBorder="1" applyAlignment="1" applyProtection="1">
      <alignment horizontal="center"/>
    </xf>
    <xf numFmtId="0" fontId="36" fillId="0" borderId="10" xfId="0" applyNumberFormat="1" applyFont="1" applyFill="1" applyBorder="1" applyAlignment="1" applyProtection="1">
      <alignment horizontal="center"/>
    </xf>
    <xf numFmtId="0" fontId="5" fillId="0" borderId="7" xfId="0" applyNumberFormat="1" applyFont="1" applyFill="1" applyBorder="1" applyAlignment="1" applyProtection="1">
      <alignment horizontal="center"/>
    </xf>
    <xf numFmtId="0" fontId="5" fillId="0" borderId="5" xfId="0" applyNumberFormat="1" applyFont="1" applyFill="1" applyBorder="1" applyAlignment="1" applyProtection="1">
      <alignment horizontal="center"/>
    </xf>
    <xf numFmtId="0" fontId="5" fillId="0" borderId="8" xfId="0" applyNumberFormat="1" applyFont="1" applyFill="1" applyBorder="1" applyAlignment="1" applyProtection="1">
      <alignment horizontal="center"/>
    </xf>
    <xf numFmtId="166" fontId="19" fillId="0" borderId="0" xfId="0" applyNumberFormat="1" applyFont="1" applyFill="1" applyBorder="1" applyAlignment="1" applyProtection="1">
      <alignment horizontal="center"/>
      <protection hidden="1"/>
    </xf>
    <xf numFmtId="166" fontId="19" fillId="0" borderId="34" xfId="0" applyNumberFormat="1" applyFont="1" applyFill="1" applyBorder="1" applyAlignment="1" applyProtection="1">
      <alignment horizontal="center"/>
      <protection hidden="1"/>
    </xf>
    <xf numFmtId="164" fontId="17" fillId="0" borderId="0" xfId="0" applyNumberFormat="1" applyFont="1" applyFill="1" applyBorder="1" applyAlignment="1" applyProtection="1">
      <alignment horizontal="center"/>
      <protection hidden="1"/>
    </xf>
    <xf numFmtId="0" fontId="17" fillId="0" borderId="0" xfId="0" applyNumberFormat="1" applyFont="1" applyFill="1" applyBorder="1" applyAlignment="1" applyProtection="1">
      <alignment horizontal="center"/>
      <protection hidden="1"/>
    </xf>
    <xf numFmtId="0" fontId="17" fillId="0" borderId="34" xfId="0" applyNumberFormat="1" applyFont="1" applyFill="1" applyBorder="1" applyAlignment="1" applyProtection="1">
      <alignment horizontal="center"/>
      <protection hidden="1"/>
    </xf>
    <xf numFmtId="0" fontId="6" fillId="0" borderId="7" xfId="0" applyNumberFormat="1" applyFont="1" applyFill="1" applyBorder="1" applyAlignment="1" applyProtection="1">
      <alignment horizontal="center" vertical="center"/>
    </xf>
    <xf numFmtId="0" fontId="6" fillId="0" borderId="5" xfId="0" applyNumberFormat="1" applyFont="1" applyFill="1" applyBorder="1" applyAlignment="1" applyProtection="1">
      <alignment horizontal="center" vertical="center"/>
    </xf>
    <xf numFmtId="0" fontId="6" fillId="0" borderId="8" xfId="0" applyNumberFormat="1" applyFont="1" applyFill="1" applyBorder="1" applyAlignment="1" applyProtection="1">
      <alignment horizontal="center" vertical="center"/>
    </xf>
    <xf numFmtId="0" fontId="6" fillId="0" borderId="9"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center" vertical="center"/>
    </xf>
    <xf numFmtId="0" fontId="6" fillId="0" borderId="10" xfId="0" applyNumberFormat="1" applyFont="1" applyFill="1" applyBorder="1" applyAlignment="1" applyProtection="1">
      <alignment horizontal="center" vertical="center"/>
    </xf>
    <xf numFmtId="0" fontId="17" fillId="0" borderId="0" xfId="0" applyNumberFormat="1" applyFont="1" applyFill="1" applyBorder="1" applyAlignment="1" applyProtection="1">
      <alignment horizontal="center"/>
    </xf>
    <xf numFmtId="0" fontId="17" fillId="0" borderId="10" xfId="0" applyNumberFormat="1" applyFont="1" applyFill="1" applyBorder="1" applyAlignment="1" applyProtection="1">
      <alignment horizontal="center"/>
    </xf>
    <xf numFmtId="0" fontId="0" fillId="0" borderId="0" xfId="0" applyBorder="1" applyAlignment="1">
      <alignment horizontal="center" wrapText="1"/>
    </xf>
    <xf numFmtId="0" fontId="0" fillId="0" borderId="4" xfId="0" applyBorder="1" applyAlignment="1">
      <alignment horizontal="center" wrapText="1"/>
    </xf>
    <xf numFmtId="0" fontId="53" fillId="0" borderId="0" xfId="0" applyFont="1" applyAlignment="1">
      <alignment horizontal="center"/>
    </xf>
    <xf numFmtId="0" fontId="2" fillId="0" borderId="0" xfId="3" applyAlignment="1" applyProtection="1">
      <alignment horizontal="center"/>
    </xf>
    <xf numFmtId="0" fontId="0" fillId="0" borderId="0" xfId="0" applyBorder="1" applyAlignment="1">
      <alignment horizontal="center"/>
    </xf>
    <xf numFmtId="0" fontId="0" fillId="0" borderId="4" xfId="0" applyBorder="1" applyAlignment="1">
      <alignment horizontal="center"/>
    </xf>
  </cellXfs>
  <cellStyles count="10">
    <cellStyle name="20% - Accent3 2" xfId="7" xr:uid="{00000000-0005-0000-0000-000000000000}"/>
    <cellStyle name="Calculation 2" xfId="9" xr:uid="{00000000-0005-0000-0000-000001000000}"/>
    <cellStyle name="Comma" xfId="1" builtinId="3"/>
    <cellStyle name="Currency" xfId="2" builtinId="4"/>
    <cellStyle name="Currency 2" xfId="6" xr:uid="{00000000-0005-0000-0000-000004000000}"/>
    <cellStyle name="Hyperlink" xfId="3" builtinId="8"/>
    <cellStyle name="Input 2" xfId="8" xr:uid="{00000000-0005-0000-0000-000006000000}"/>
    <cellStyle name="Normal" xfId="0" builtinId="0"/>
    <cellStyle name="Normal 2" xfId="5" xr:uid="{00000000-0005-0000-0000-000008000000}"/>
    <cellStyle name="Percent" xfId="4" builtinId="5"/>
  </cellStyles>
  <dxfs count="69">
    <dxf>
      <font>
        <b/>
        <i val="0"/>
      </font>
      <fill>
        <patternFill>
          <bgColor theme="9" tint="0.39994506668294322"/>
        </patternFill>
      </fill>
    </dxf>
    <dxf>
      <font>
        <b/>
        <i val="0"/>
      </font>
      <fill>
        <patternFill>
          <bgColor theme="9" tint="0.39994506668294322"/>
        </patternFill>
      </fill>
    </dxf>
    <dxf>
      <font>
        <color theme="0" tint="-0.499984740745262"/>
      </font>
      <fill>
        <patternFill>
          <bgColor theme="0" tint="-0.34998626667073579"/>
        </patternFill>
      </fill>
    </dxf>
    <dxf>
      <font>
        <color theme="0" tint="-0.499984740745262"/>
      </font>
      <fill>
        <patternFill>
          <bgColor theme="0" tint="-0.34998626667073579"/>
        </patternFill>
      </fill>
    </dxf>
    <dxf>
      <font>
        <color theme="0" tint="-0.499984740745262"/>
      </font>
      <fill>
        <patternFill>
          <bgColor theme="0" tint="-0.34998626667073579"/>
        </patternFill>
      </fill>
    </dxf>
    <dxf>
      <font>
        <color theme="0" tint="-0.499984740745262"/>
      </font>
      <fill>
        <patternFill>
          <bgColor theme="0" tint="-0.34998626667073579"/>
        </patternFill>
      </fill>
    </dxf>
    <dxf>
      <fill>
        <patternFill>
          <bgColor theme="4" tint="0.59996337778862885"/>
        </patternFill>
      </fill>
    </dxf>
    <dxf>
      <font>
        <color theme="0" tint="-0.499984740745262"/>
      </font>
      <fill>
        <patternFill>
          <bgColor theme="0" tint="-0.34998626667073579"/>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0" tint="-0.499984740745262"/>
      </font>
      <fill>
        <patternFill>
          <bgColor theme="0" tint="-0.34998626667073579"/>
        </patternFill>
      </fill>
    </dxf>
    <dxf>
      <font>
        <color theme="0" tint="-0.499984740745262"/>
      </font>
      <fill>
        <patternFill>
          <bgColor theme="0" tint="-0.34998626667073579"/>
        </patternFill>
      </fill>
    </dxf>
    <dxf>
      <font>
        <color theme="0" tint="-0.499984740745262"/>
      </font>
      <fill>
        <patternFill>
          <bgColor theme="0" tint="-0.34998626667073579"/>
        </patternFill>
      </fill>
    </dxf>
    <dxf>
      <font>
        <color theme="0" tint="-0.499984740745262"/>
      </font>
      <fill>
        <patternFill>
          <bgColor theme="0" tint="-0.34998626667073579"/>
        </patternFill>
      </fill>
    </dxf>
    <dxf>
      <font>
        <color theme="0" tint="-0.499984740745262"/>
      </font>
      <fill>
        <patternFill>
          <bgColor theme="0" tint="-0.34998626667073579"/>
        </patternFill>
      </fill>
    </dxf>
    <dxf>
      <font>
        <color rgb="FF9C0006"/>
      </font>
      <fill>
        <patternFill>
          <bgColor rgb="FFFFC7CE"/>
        </patternFill>
      </fill>
    </dxf>
    <dxf>
      <font>
        <color theme="0" tint="-0.499984740745262"/>
      </font>
      <fill>
        <patternFill>
          <bgColor theme="0" tint="-0.34998626667073579"/>
        </patternFill>
      </fill>
    </dxf>
    <dxf>
      <font>
        <color theme="0" tint="-0.499984740745262"/>
      </font>
      <fill>
        <patternFill>
          <bgColor theme="0" tint="-0.34998626667073579"/>
        </patternFill>
      </fill>
    </dxf>
    <dxf>
      <font>
        <color theme="0" tint="-0.499984740745262"/>
      </font>
      <fill>
        <patternFill>
          <bgColor theme="0" tint="-0.34998626667073579"/>
        </patternFill>
      </fill>
    </dxf>
    <dxf>
      <font>
        <color theme="0" tint="-0.14996795556505021"/>
      </font>
      <fill>
        <patternFill>
          <bgColor theme="0" tint="-0.34998626667073579"/>
        </patternFill>
      </fill>
    </dxf>
    <dxf>
      <font>
        <color theme="0" tint="-0.499984740745262"/>
      </font>
      <fill>
        <patternFill>
          <bgColor theme="0" tint="-0.34998626667073579"/>
        </patternFill>
      </fill>
    </dxf>
    <dxf>
      <font>
        <color theme="0" tint="-0.499984740745262"/>
      </font>
      <fill>
        <patternFill>
          <bgColor theme="0" tint="-0.34998626667073579"/>
        </patternFill>
      </fill>
    </dxf>
    <dxf>
      <font>
        <color theme="0" tint="-0.499984740745262"/>
      </font>
      <fill>
        <patternFill>
          <bgColor theme="0" tint="-0.34998626667073579"/>
        </patternFill>
      </fill>
    </dxf>
    <dxf>
      <font>
        <color theme="0" tint="-0.499984740745262"/>
      </font>
      <fill>
        <patternFill>
          <bgColor theme="0" tint="-0.34998626667073579"/>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patternType="solid">
          <fgColor theme="4" tint="0.59999389629810485"/>
          <bgColor theme="4" tint="0.59999389629810485"/>
        </patternFill>
      </fill>
    </dxf>
    <dxf>
      <fill>
        <patternFill>
          <bgColor rgb="FFF0EFED"/>
        </patternFill>
      </fill>
    </dxf>
    <dxf>
      <fill>
        <patternFill patternType="solid">
          <fgColor theme="4" tint="0.59999389629810485"/>
          <bgColor rgb="FFF0EFED"/>
        </patternFill>
      </fill>
    </dxf>
    <dxf>
      <font>
        <b/>
        <color theme="0"/>
      </font>
      <fill>
        <patternFill patternType="solid">
          <fgColor theme="4"/>
          <bgColor theme="4"/>
        </patternFill>
      </fill>
    </dxf>
    <dxf>
      <font>
        <b/>
        <color theme="0"/>
      </font>
      <fill>
        <patternFill patternType="solid">
          <fgColor theme="4"/>
          <bgColor theme="4"/>
        </patternFill>
      </fill>
    </dxf>
    <dxf>
      <font>
        <b/>
        <color theme="0"/>
      </font>
      <fill>
        <patternFill patternType="solid">
          <fgColor theme="4"/>
          <bgColor theme="4"/>
        </patternFill>
      </fill>
      <border>
        <top style="thick">
          <color theme="0"/>
        </top>
      </border>
    </dxf>
    <dxf>
      <font>
        <b/>
        <color theme="0"/>
      </font>
      <fill>
        <patternFill patternType="solid">
          <fgColor theme="4"/>
          <bgColor rgb="FFF37321"/>
        </patternFill>
      </fill>
      <border>
        <bottom style="thick">
          <color theme="0"/>
        </bottom>
      </border>
    </dxf>
    <dxf>
      <font>
        <color theme="1"/>
      </font>
      <fill>
        <patternFill patternType="solid">
          <fgColor theme="4" tint="0.79998168889431442"/>
          <bgColor theme="4" tint="0.79998168889431442"/>
        </patternFill>
      </fill>
      <border>
        <vertical style="thin">
          <color theme="0"/>
        </vertical>
        <horizontal style="thin">
          <color theme="0"/>
        </horizontal>
      </border>
    </dxf>
    <dxf>
      <fill>
        <patternFill patternType="solid">
          <fgColor theme="4" tint="0.59999389629810485"/>
          <bgColor theme="4" tint="0.59999389629810485"/>
        </patternFill>
      </fill>
    </dxf>
    <dxf>
      <fill>
        <patternFill>
          <bgColor rgb="FF96DAE2"/>
        </patternFill>
      </fill>
    </dxf>
    <dxf>
      <fill>
        <patternFill patternType="solid">
          <fgColor theme="4" tint="0.59999389629810485"/>
          <bgColor rgb="FFF0EFED"/>
        </patternFill>
      </fill>
    </dxf>
    <dxf>
      <font>
        <b/>
        <color theme="0"/>
      </font>
      <fill>
        <patternFill patternType="solid">
          <fgColor theme="4"/>
          <bgColor rgb="FFF37321"/>
        </patternFill>
      </fill>
    </dxf>
    <dxf>
      <font>
        <b/>
        <color theme="0"/>
      </font>
      <fill>
        <patternFill patternType="solid">
          <fgColor theme="4"/>
          <bgColor theme="4"/>
        </patternFill>
      </fill>
    </dxf>
    <dxf>
      <font>
        <b/>
        <color theme="0"/>
      </font>
      <fill>
        <patternFill patternType="solid">
          <fgColor theme="4"/>
          <bgColor theme="4"/>
        </patternFill>
      </fill>
      <border>
        <top style="thick">
          <color theme="0"/>
        </top>
      </border>
    </dxf>
    <dxf>
      <font>
        <b/>
        <color theme="0"/>
      </font>
      <fill>
        <patternFill patternType="solid">
          <fgColor theme="4"/>
          <bgColor rgb="FFF37321"/>
        </patternFill>
      </fill>
      <border>
        <bottom style="thick">
          <color theme="0"/>
        </bottom>
      </border>
    </dxf>
    <dxf>
      <font>
        <color theme="1"/>
      </font>
      <fill>
        <patternFill patternType="solid">
          <fgColor theme="4" tint="0.79998168889431442"/>
          <bgColor theme="4" tint="0.79998168889431442"/>
        </patternFill>
      </fill>
      <border>
        <vertical style="thin">
          <color theme="0"/>
        </vertical>
        <horizontal style="thin">
          <color theme="0"/>
        </horizontal>
      </border>
    </dxf>
    <dxf>
      <fill>
        <patternFill patternType="solid">
          <fgColor theme="4" tint="0.59999389629810485"/>
          <bgColor theme="4" tint="0.59999389629810485"/>
        </patternFill>
      </fill>
    </dxf>
    <dxf>
      <fill>
        <patternFill>
          <bgColor rgb="FF96DAE2"/>
        </patternFill>
      </fill>
    </dxf>
    <dxf>
      <fill>
        <patternFill patternType="solid">
          <fgColor theme="4" tint="0.59999389629810485"/>
          <bgColor rgb="FF96DAE2"/>
        </patternFill>
      </fill>
    </dxf>
    <dxf>
      <font>
        <b/>
        <color theme="0"/>
      </font>
      <fill>
        <patternFill patternType="solid">
          <fgColor theme="4"/>
          <bgColor theme="4"/>
        </patternFill>
      </fill>
    </dxf>
    <dxf>
      <font>
        <b/>
        <color theme="0"/>
      </font>
      <fill>
        <patternFill patternType="solid">
          <fgColor theme="4"/>
          <bgColor theme="4"/>
        </patternFill>
      </fill>
    </dxf>
    <dxf>
      <font>
        <b/>
        <color theme="0"/>
      </font>
      <fill>
        <patternFill patternType="solid">
          <fgColor theme="4"/>
          <bgColor theme="4"/>
        </patternFill>
      </fill>
      <border>
        <top style="thick">
          <color theme="0"/>
        </top>
      </border>
    </dxf>
    <dxf>
      <font>
        <b/>
        <color theme="0"/>
      </font>
      <fill>
        <patternFill patternType="solid">
          <fgColor theme="4"/>
          <bgColor rgb="FFF37321"/>
        </patternFill>
      </fill>
      <border>
        <bottom style="thick">
          <color theme="0"/>
        </bottom>
      </border>
    </dxf>
    <dxf>
      <font>
        <color theme="1"/>
      </font>
      <fill>
        <patternFill patternType="solid">
          <fgColor theme="4" tint="0.79998168889431442"/>
          <bgColor theme="4" tint="0.79998168889431442"/>
        </patternFill>
      </fill>
      <border>
        <vertical style="thin">
          <color theme="0"/>
        </vertical>
        <horizontal style="thin">
          <color theme="0"/>
        </horizontal>
      </border>
    </dxf>
    <dxf>
      <fill>
        <patternFill patternType="solid">
          <fgColor theme="4" tint="0.59999389629810485"/>
          <bgColor theme="4" tint="0.59999389629810485"/>
        </patternFill>
      </fill>
    </dxf>
    <dxf>
      <fill>
        <patternFill>
          <bgColor rgb="FF96DAE2"/>
        </patternFill>
      </fill>
    </dxf>
    <dxf>
      <fill>
        <patternFill patternType="solid">
          <fgColor theme="4" tint="0.59999389629810485"/>
          <bgColor rgb="FFF0EFED"/>
        </patternFill>
      </fill>
    </dxf>
    <dxf>
      <font>
        <b/>
        <color theme="0"/>
      </font>
      <fill>
        <patternFill patternType="solid">
          <fgColor theme="4"/>
          <bgColor theme="4"/>
        </patternFill>
      </fill>
    </dxf>
    <dxf>
      <font>
        <b/>
        <color theme="0"/>
      </font>
      <fill>
        <patternFill patternType="solid">
          <fgColor theme="4"/>
          <bgColor theme="4"/>
        </patternFill>
      </fill>
    </dxf>
    <dxf>
      <font>
        <b/>
        <color theme="0"/>
      </font>
      <fill>
        <patternFill patternType="solid">
          <fgColor theme="4"/>
          <bgColor theme="4"/>
        </patternFill>
      </fill>
      <border>
        <top style="thick">
          <color theme="0"/>
        </top>
      </border>
    </dxf>
    <dxf>
      <font>
        <b/>
        <color theme="0"/>
      </font>
      <fill>
        <patternFill patternType="solid">
          <fgColor theme="4"/>
          <bgColor rgb="FF5ADABD"/>
        </patternFill>
      </fill>
      <border>
        <bottom style="thick">
          <color theme="0"/>
        </bottom>
      </border>
    </dxf>
    <dxf>
      <font>
        <color theme="1"/>
      </font>
      <fill>
        <patternFill patternType="solid">
          <fgColor theme="4" tint="0.79998168889431442"/>
          <bgColor theme="4" tint="0.79998168889431442"/>
        </patternFill>
      </fill>
      <border>
        <vertical style="thin">
          <color theme="0"/>
        </vertical>
        <horizontal style="thin">
          <color theme="0"/>
        </horizontal>
      </border>
    </dxf>
    <dxf>
      <fill>
        <patternFill patternType="solid">
          <fgColor theme="4" tint="0.59999389629810485"/>
          <bgColor theme="4" tint="0.59999389629810485"/>
        </patternFill>
      </fill>
    </dxf>
    <dxf>
      <fill>
        <patternFill patternType="solid">
          <fgColor theme="4" tint="0.59999389629810485"/>
          <bgColor rgb="FFF0EFED"/>
        </patternFill>
      </fill>
    </dxf>
    <dxf>
      <font>
        <b/>
        <color theme="0"/>
      </font>
      <fill>
        <patternFill patternType="solid">
          <fgColor theme="4"/>
          <bgColor theme="4"/>
        </patternFill>
      </fill>
    </dxf>
    <dxf>
      <font>
        <b/>
        <color theme="0"/>
      </font>
      <fill>
        <patternFill patternType="solid">
          <fgColor theme="4"/>
          <bgColor theme="4"/>
        </patternFill>
      </fill>
    </dxf>
    <dxf>
      <font>
        <b/>
        <color theme="0"/>
      </font>
      <fill>
        <patternFill patternType="solid">
          <fgColor theme="4"/>
          <bgColor theme="4"/>
        </patternFill>
      </fill>
      <border>
        <top style="thick">
          <color theme="0"/>
        </top>
      </border>
    </dxf>
    <dxf>
      <font>
        <b/>
        <color theme="0"/>
      </font>
      <fill>
        <patternFill patternType="solid">
          <fgColor theme="4"/>
          <bgColor rgb="FF5ADAE2"/>
        </patternFill>
      </fill>
      <border>
        <bottom style="thick">
          <color theme="0"/>
        </bottom>
      </border>
    </dxf>
    <dxf>
      <font>
        <color theme="1"/>
      </font>
      <fill>
        <patternFill patternType="solid">
          <fgColor theme="4" tint="0.79998168889431442"/>
          <bgColor theme="4" tint="0.79998168889431442"/>
        </patternFill>
      </fill>
      <border>
        <vertical style="thin">
          <color theme="0"/>
        </vertical>
        <horizontal style="thin">
          <color theme="0"/>
        </horizontal>
      </border>
    </dxf>
  </dxfs>
  <tableStyles count="5" defaultTableStyle="TableStyleMedium9" defaultPivotStyle="PivotStyleMedium4">
    <tableStyle name="FishBizTableStyleMedium9 2" pivot="0" count="7" xr9:uid="{00000000-0011-0000-FFFF-FFFF00000000}">
      <tableStyleElement type="wholeTable" dxfId="68"/>
      <tableStyleElement type="headerRow" dxfId="67"/>
      <tableStyleElement type="totalRow" dxfId="66"/>
      <tableStyleElement type="firstColumn" dxfId="65"/>
      <tableStyleElement type="lastColumn" dxfId="64"/>
      <tableStyleElement type="firstRowStripe" dxfId="63"/>
      <tableStyleElement type="firstColumnStripe" dxfId="62"/>
    </tableStyle>
    <tableStyle name="TableStyleMedium9 2" pivot="0" count="8" xr9:uid="{00000000-0011-0000-FFFF-FFFF01000000}">
      <tableStyleElement type="wholeTable" dxfId="61"/>
      <tableStyleElement type="headerRow" dxfId="60"/>
      <tableStyleElement type="totalRow" dxfId="59"/>
      <tableStyleElement type="firstColumn" dxfId="58"/>
      <tableStyleElement type="lastColumn" dxfId="57"/>
      <tableStyleElement type="firstRowStripe" dxfId="56"/>
      <tableStyleElement type="secondRowStripe" dxfId="55"/>
      <tableStyleElement type="firstColumnStripe" dxfId="54"/>
    </tableStyle>
    <tableStyle name="TableStyleMedium9 2 2" pivot="0" count="8" xr9:uid="{00000000-0011-0000-FFFF-FFFF02000000}">
      <tableStyleElement type="wholeTable" dxfId="53"/>
      <tableStyleElement type="headerRow" dxfId="52"/>
      <tableStyleElement type="totalRow" dxfId="51"/>
      <tableStyleElement type="firstColumn" dxfId="50"/>
      <tableStyleElement type="lastColumn" dxfId="49"/>
      <tableStyleElement type="firstRowStripe" dxfId="48"/>
      <tableStyleElement type="secondRowStripe" dxfId="47"/>
      <tableStyleElement type="firstColumnStripe" dxfId="46"/>
    </tableStyle>
    <tableStyle name="TableStyleMedium9 2 2 2" pivot="0" count="8" xr9:uid="{00000000-0011-0000-FFFF-FFFF03000000}">
      <tableStyleElement type="wholeTable" dxfId="45"/>
      <tableStyleElement type="headerRow" dxfId="44"/>
      <tableStyleElement type="totalRow" dxfId="43"/>
      <tableStyleElement type="firstColumn" dxfId="42"/>
      <tableStyleElement type="lastColumn" dxfId="41"/>
      <tableStyleElement type="firstRowStripe" dxfId="40"/>
      <tableStyleElement type="secondRowStripe" dxfId="39"/>
      <tableStyleElement type="firstColumnStripe" dxfId="38"/>
    </tableStyle>
    <tableStyle name="TableStyleMedium9 2 2 3" pivot="0" count="8" xr9:uid="{00000000-0011-0000-FFFF-FFFF04000000}">
      <tableStyleElement type="wholeTable" dxfId="37"/>
      <tableStyleElement type="headerRow" dxfId="36"/>
      <tableStyleElement type="totalRow" dxfId="35"/>
      <tableStyleElement type="firstColumn" dxfId="34"/>
      <tableStyleElement type="lastColumn" dxfId="33"/>
      <tableStyleElement type="firstRowStripe" dxfId="32"/>
      <tableStyleElement type="secondRowStripe" dxfId="31"/>
      <tableStyleElement type="firstColumnStripe" dxfId="30"/>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1DFDB"/>
      <color rgb="FFF0EFED"/>
      <color rgb="FF8064A2"/>
      <color rgb="FF8CC052"/>
      <color rgb="FF157C29"/>
      <color rgb="FF4A89DC"/>
      <color rgb="FF00C400"/>
      <color rgb="FF434953"/>
      <color rgb="FFF37321"/>
      <color rgb="FFE7F7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owerPivotData" Target="model/item.data"/><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Inputs!$M$60</c:f>
          <c:strCache>
            <c:ptCount val="1"/>
            <c:pt idx="0">
              <c:v>1 Projected - Interest Expense Ratio</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spPr>
            <a:ln>
              <a:noFill/>
            </a:ln>
          </c:spPr>
          <c:dPt>
            <c:idx val="0"/>
            <c:bubble3D val="0"/>
            <c:spPr>
              <a:solidFill>
                <a:srgbClr val="FF0000"/>
              </a:solidFill>
              <a:ln w="19050">
                <a:noFill/>
              </a:ln>
              <a:effectLst/>
            </c:spPr>
            <c:extLst>
              <c:ext xmlns:c16="http://schemas.microsoft.com/office/drawing/2014/chart" uri="{C3380CC4-5D6E-409C-BE32-E72D297353CC}">
                <c16:uniqueId val="{00000001-3637-4836-ACAD-E25CAFC6C9C3}"/>
              </c:ext>
            </c:extLst>
          </c:dPt>
          <c:dPt>
            <c:idx val="1"/>
            <c:bubble3D val="0"/>
            <c:spPr>
              <a:solidFill>
                <a:srgbClr val="FFFF00"/>
              </a:solidFill>
              <a:ln w="19050">
                <a:noFill/>
              </a:ln>
              <a:effectLst/>
            </c:spPr>
            <c:extLst>
              <c:ext xmlns:c16="http://schemas.microsoft.com/office/drawing/2014/chart" uri="{C3380CC4-5D6E-409C-BE32-E72D297353CC}">
                <c16:uniqueId val="{00000002-3637-4836-ACAD-E25CAFC6C9C3}"/>
              </c:ext>
            </c:extLst>
          </c:dPt>
          <c:dPt>
            <c:idx val="2"/>
            <c:bubble3D val="0"/>
            <c:spPr>
              <a:solidFill>
                <a:srgbClr val="00B050"/>
              </a:solidFill>
              <a:ln w="19050">
                <a:noFill/>
              </a:ln>
              <a:effectLst/>
            </c:spPr>
            <c:extLst>
              <c:ext xmlns:c16="http://schemas.microsoft.com/office/drawing/2014/chart" uri="{C3380CC4-5D6E-409C-BE32-E72D297353CC}">
                <c16:uniqueId val="{00000003-3637-4836-ACAD-E25CAFC6C9C3}"/>
              </c:ext>
            </c:extLst>
          </c:dPt>
          <c:dPt>
            <c:idx val="3"/>
            <c:bubble3D val="0"/>
            <c:spPr>
              <a:noFill/>
              <a:ln w="19050">
                <a:noFill/>
              </a:ln>
              <a:effectLst/>
            </c:spPr>
            <c:extLst>
              <c:ext xmlns:c16="http://schemas.microsoft.com/office/drawing/2014/chart" uri="{C3380CC4-5D6E-409C-BE32-E72D297353CC}">
                <c16:uniqueId val="{00000004-3637-4836-ACAD-E25CAFC6C9C3}"/>
              </c:ext>
            </c:extLst>
          </c:dPt>
          <c:val>
            <c:numRef>
              <c:f>Inputs!$Q$60:$T$60</c:f>
              <c:numCache>
                <c:formatCode>General</c:formatCode>
                <c:ptCount val="4"/>
                <c:pt idx="0">
                  <c:v>5.0000000000000001E-3</c:v>
                </c:pt>
                <c:pt idx="1">
                  <c:v>5.0000000000000001E-3</c:v>
                </c:pt>
                <c:pt idx="2">
                  <c:v>5.0000000000000001E-3</c:v>
                </c:pt>
                <c:pt idx="3">
                  <c:v>1.4999999999999999E-2</c:v>
                </c:pt>
              </c:numCache>
            </c:numRef>
          </c:val>
          <c:extLst>
            <c:ext xmlns:c16="http://schemas.microsoft.com/office/drawing/2014/chart" uri="{C3380CC4-5D6E-409C-BE32-E72D297353CC}">
              <c16:uniqueId val="{00000000-3637-4836-ACAD-E25CAFC6C9C3}"/>
            </c:ext>
          </c:extLst>
        </c:ser>
        <c:dLbls>
          <c:showLegendKey val="0"/>
          <c:showVal val="0"/>
          <c:showCatName val="0"/>
          <c:showSerName val="0"/>
          <c:showPercent val="0"/>
          <c:showBubbleSize val="0"/>
          <c:showLeaderLines val="1"/>
        </c:dLbls>
        <c:firstSliceAng val="270"/>
        <c:holeSize val="50"/>
      </c:doughnutChart>
      <c:pieChart>
        <c:varyColors val="1"/>
        <c:ser>
          <c:idx val="1"/>
          <c:order val="1"/>
          <c:tx>
            <c:strRef>
              <c:f>Inputs!$L$64</c:f>
              <c:strCache>
                <c:ptCount val="1"/>
              </c:strCache>
            </c:strRef>
          </c:tx>
          <c:spPr>
            <a:solidFill>
              <a:schemeClr val="tx1"/>
            </a:solidFill>
            <a:ln>
              <a:noFill/>
            </a:ln>
          </c:spPr>
          <c:dPt>
            <c:idx val="0"/>
            <c:bubble3D val="0"/>
            <c:spPr>
              <a:noFill/>
              <a:ln w="19050">
                <a:noFill/>
              </a:ln>
              <a:effectLst/>
            </c:spPr>
            <c:extLst>
              <c:ext xmlns:c16="http://schemas.microsoft.com/office/drawing/2014/chart" uri="{C3380CC4-5D6E-409C-BE32-E72D297353CC}">
                <c16:uniqueId val="{00000008-3637-4836-ACAD-E25CAFC6C9C3}"/>
              </c:ext>
            </c:extLst>
          </c:dPt>
          <c:dPt>
            <c:idx val="1"/>
            <c:bubble3D val="0"/>
            <c:spPr>
              <a:solidFill>
                <a:schemeClr val="tx1"/>
              </a:solidFill>
              <a:ln w="19050">
                <a:noFill/>
              </a:ln>
              <a:effectLst/>
            </c:spPr>
            <c:extLst>
              <c:ext xmlns:c16="http://schemas.microsoft.com/office/drawing/2014/chart" uri="{C3380CC4-5D6E-409C-BE32-E72D297353CC}">
                <c16:uniqueId val="{00000006-3637-4836-ACAD-E25CAFC6C9C3}"/>
              </c:ext>
            </c:extLst>
          </c:dPt>
          <c:dPt>
            <c:idx val="2"/>
            <c:bubble3D val="0"/>
            <c:spPr>
              <a:noFill/>
              <a:ln w="19050">
                <a:noFill/>
              </a:ln>
              <a:effectLst/>
            </c:spPr>
            <c:extLst>
              <c:ext xmlns:c16="http://schemas.microsoft.com/office/drawing/2014/chart" uri="{C3380CC4-5D6E-409C-BE32-E72D297353CC}">
                <c16:uniqueId val="{00000007-3637-4836-ACAD-E25CAFC6C9C3}"/>
              </c:ext>
            </c:extLst>
          </c:dPt>
          <c:dPt>
            <c:idx val="3"/>
            <c:bubble3D val="0"/>
            <c:spPr>
              <a:noFill/>
              <a:ln w="19050">
                <a:noFill/>
              </a:ln>
              <a:effectLst/>
            </c:spPr>
            <c:extLst>
              <c:ext xmlns:c16="http://schemas.microsoft.com/office/drawing/2014/chart" uri="{C3380CC4-5D6E-409C-BE32-E72D297353CC}">
                <c16:uniqueId val="{0000000E-4D4A-42FF-8749-413F4554B02E}"/>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(Inputs!$K$59,Inputs!$U$59:$V$59,Inputs!$X$59)</c:f>
              <c:strCache>
                <c:ptCount val="4"/>
                <c:pt idx="0">
                  <c:v>Graph</c:v>
                </c:pt>
                <c:pt idx="1">
                  <c:v>pointer</c:v>
                </c:pt>
                <c:pt idx="2">
                  <c:v>end</c:v>
                </c:pt>
                <c:pt idx="3">
                  <c:v>holder</c:v>
                </c:pt>
              </c:strCache>
            </c:strRef>
          </c:cat>
          <c:val>
            <c:numRef>
              <c:f>(Inputs!$K$60,Inputs!$U$60:$V$60,Inputs!$X$60)</c:f>
              <c:numCache>
                <c:formatCode>General</c:formatCode>
                <c:ptCount val="4"/>
                <c:pt idx="0" formatCode="_(* #,##0.000_);_(* \(#,##0.000\);_(* &quot;-&quot;??_);_(@_)">
                  <c:v>0</c:v>
                </c:pt>
                <c:pt idx="1">
                  <c:v>0</c:v>
                </c:pt>
                <c:pt idx="2" formatCode="_(* #,##0.00_);_(* \(#,##0.00\);_(* &quot;-&quot;??_);_(@_)">
                  <c:v>0</c:v>
                </c:pt>
                <c:pt idx="3">
                  <c:v>0</c:v>
                </c:pt>
              </c:numCache>
            </c:numRef>
          </c:val>
          <c:extLst>
            <c:ext xmlns:c16="http://schemas.microsoft.com/office/drawing/2014/chart" uri="{C3380CC4-5D6E-409C-BE32-E72D297353CC}">
              <c16:uniqueId val="{00000005-3637-4836-ACAD-E25CAFC6C9C3}"/>
            </c:ext>
          </c:extLst>
        </c:ser>
        <c:dLbls>
          <c:showLegendKey val="0"/>
          <c:showVal val="0"/>
          <c:showCatName val="0"/>
          <c:showSerName val="0"/>
          <c:showPercent val="0"/>
          <c:showBubbleSize val="0"/>
          <c:showLeaderLines val="0"/>
        </c:dLbls>
        <c:firstSliceAng val="27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269694894232483E-2"/>
          <c:y val="0.26484767940728721"/>
          <c:w val="0.93146061021153503"/>
          <c:h val="0.47030464118542559"/>
        </c:manualLayout>
      </c:layout>
      <c:barChart>
        <c:barDir val="bar"/>
        <c:grouping val="stacked"/>
        <c:varyColors val="0"/>
        <c:ser>
          <c:idx val="1"/>
          <c:order val="0"/>
          <c:tx>
            <c:v>Spectrum</c:v>
          </c:tx>
          <c:spPr>
            <a:gradFill flip="none" rotWithShape="1">
              <a:gsLst>
                <a:gs pos="33000">
                  <a:srgbClr val="00B050"/>
                </a:gs>
                <a:gs pos="67000">
                  <a:srgbClr val="FF0000"/>
                </a:gs>
                <a:gs pos="66000">
                  <a:srgbClr val="FFFF00"/>
                </a:gs>
                <a:gs pos="33000">
                  <a:srgbClr val="FFFF00"/>
                </a:gs>
              </a:gsLst>
              <a:lin ang="10800000" scaled="0"/>
              <a:tileRect/>
            </a:gradFill>
            <a:ln>
              <a:noFill/>
            </a:ln>
            <a:effectLst/>
          </c:spPr>
          <c:invertIfNegative val="0"/>
          <c:cat>
            <c:strRef>
              <c:extLst>
                <c:ext xmlns:c15="http://schemas.microsoft.com/office/drawing/2012/chart" uri="{02D57815-91ED-43cb-92C2-25804820EDAC}">
                  <c15:fullRef>
                    <c15:sqref>'Financial Scorecard'!$P$18:$P$20</c15:sqref>
                  </c15:fullRef>
                </c:ext>
              </c:extLst>
              <c:f>'Financial Scorecard'!$P$20</c:f>
              <c:strCache>
                <c:ptCount val="1"/>
                <c:pt idx="0">
                  <c:v>Debt-to-Equity</c:v>
                </c:pt>
              </c:strCache>
            </c:strRef>
          </c:cat>
          <c:val>
            <c:numRef>
              <c:extLst>
                <c:ext xmlns:c15="http://schemas.microsoft.com/office/drawing/2012/chart" uri="{02D57815-91ED-43cb-92C2-25804820EDAC}">
                  <c15:fullRef>
                    <c15:sqref>'Financial Scorecard'!$R$18:$R$20</c15:sqref>
                  </c15:fullRef>
                </c:ext>
              </c:extLst>
              <c:f>'Financial Scorecard'!$R$20</c:f>
              <c:numCache>
                <c:formatCode>General</c:formatCode>
                <c:ptCount val="1"/>
                <c:pt idx="0">
                  <c:v>10</c:v>
                </c:pt>
              </c:numCache>
            </c:numRef>
          </c:val>
          <c:extLst>
            <c:ext xmlns:c16="http://schemas.microsoft.com/office/drawing/2014/chart" uri="{C3380CC4-5D6E-409C-BE32-E72D297353CC}">
              <c16:uniqueId val="{00000000-48C0-4735-9EB4-FA8E32587B59}"/>
            </c:ext>
          </c:extLst>
        </c:ser>
        <c:dLbls>
          <c:showLegendKey val="0"/>
          <c:showVal val="0"/>
          <c:showCatName val="0"/>
          <c:showSerName val="0"/>
          <c:showPercent val="0"/>
          <c:showBubbleSize val="0"/>
        </c:dLbls>
        <c:gapWidth val="150"/>
        <c:overlap val="100"/>
        <c:axId val="521008736"/>
        <c:axId val="414620848"/>
      </c:barChart>
      <c:barChart>
        <c:barDir val="bar"/>
        <c:grouping val="stacked"/>
        <c:varyColors val="0"/>
        <c:ser>
          <c:idx val="2"/>
          <c:order val="1"/>
          <c:tx>
            <c:v>Slider Fill</c:v>
          </c:tx>
          <c:spPr>
            <a:noFill/>
            <a:ln>
              <a:noFill/>
            </a:ln>
            <a:effectLst/>
          </c:spPr>
          <c:invertIfNegative val="0"/>
          <c:cat>
            <c:strRef>
              <c:extLst>
                <c:ext xmlns:c16="http://schemas.microsoft.com/office/drawing/2014/chart" uri="{F5D05F6E-A05E-4728-AFD3-386EB277150F}">
                  <c16:filteredLitCache>
                    <c:strCache>
                      <c:ptCount val="2"/>
                      <c:pt idx="0">
                        <c:v>Current Ratio</c:v>
                      </c:pt>
                      <c:pt idx="1">
                        <c:v>Working Capital</c:v>
                      </c:pt>
                    </c:strCache>
                  </c16:filteredLitCache>
                </c:ext>
              </c:extLst>
              <c:f/>
              <c:strCache>
                <c:ptCount val="1"/>
                <c:pt idx="0">
                  <c:v>WC/GR</c:v>
                </c:pt>
              </c:strCache>
            </c:strRef>
          </c:cat>
          <c:val>
            <c:numRef>
              <c:extLst>
                <c:ext xmlns:c15="http://schemas.microsoft.com/office/drawing/2012/chart" uri="{02D57815-91ED-43cb-92C2-25804820EDAC}">
                  <c15:fullRef>
                    <c15:sqref>'Financial Scorecard'!$S$18:$S$20</c15:sqref>
                  </c15:fullRef>
                </c:ext>
              </c:extLst>
              <c:f>'Financial Scorecard'!$S$20</c:f>
              <c:numCache>
                <c:formatCode>General</c:formatCode>
                <c:ptCount val="1"/>
                <c:pt idx="0">
                  <c:v>9.5150000000000006</c:v>
                </c:pt>
              </c:numCache>
            </c:numRef>
          </c:val>
          <c:extLst>
            <c:ext xmlns:c16="http://schemas.microsoft.com/office/drawing/2014/chart" uri="{C3380CC4-5D6E-409C-BE32-E72D297353CC}">
              <c16:uniqueId val="{00000001-48C0-4735-9EB4-FA8E32587B59}"/>
            </c:ext>
          </c:extLst>
        </c:ser>
        <c:ser>
          <c:idx val="0"/>
          <c:order val="2"/>
          <c:tx>
            <c:v>Slider Size</c:v>
          </c:tx>
          <c:spPr>
            <a:solidFill>
              <a:schemeClr val="bg1">
                <a:lumMod val="85000"/>
              </a:schemeClr>
            </a:solidFill>
            <a:ln>
              <a:solidFill>
                <a:schemeClr val="tx1"/>
              </a:solidFill>
            </a:ln>
            <a:effectLst/>
          </c:spPr>
          <c:invertIfNegative val="0"/>
          <c:dLbls>
            <c:dLbl>
              <c:idx val="0"/>
              <c:layout>
                <c:manualLayout>
                  <c:x val="-2.2310741544509101E-19"/>
                  <c:y val="0.31300180293588487"/>
                </c:manualLayout>
              </c:layout>
              <c:tx>
                <c:strRef>
                  <c:f>'Financial Scorecard'!$G$20</c:f>
                  <c:strCache>
                    <c:ptCount val="1"/>
                    <c:pt idx="0">
                      <c:v>0:1</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{54C52D04-BA2A-4E15-B609-8058BED0E661}</c15:txfldGUID>
                      <c15:f>'Financial Scorecard'!$G$20</c15:f>
                      <c15:dlblFieldTableCache>
                        <c:ptCount val="1"/>
                        <c:pt idx="0">
                          <c:v>0:1</c:v>
                        </c:pt>
                      </c15:dlblFieldTableCache>
                    </c15:dlblFTEntry>
                  </c15:dlblFieldTable>
                  <c15:showDataLabelsRange val="0"/>
                </c:ext>
                <c:ext xmlns:c16="http://schemas.microsoft.com/office/drawing/2014/chart" uri="{C3380CC4-5D6E-409C-BE32-E72D297353CC}">
                  <c16:uniqueId val="{00000004-48C0-4735-9EB4-FA8E32587B5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6="http://schemas.microsoft.com/office/drawing/2014/chart" uri="{F5D05F6E-A05E-4728-AFD3-386EB277150F}">
                  <c16:filteredLitCache>
                    <c:strCache>
                      <c:ptCount val="2"/>
                      <c:pt idx="0">
                        <c:v>Current Ratio</c:v>
                      </c:pt>
                      <c:pt idx="1">
                        <c:v>Working Capital</c:v>
                      </c:pt>
                    </c:strCache>
                  </c16:filteredLitCache>
                </c:ext>
              </c:extLst>
              <c:f/>
              <c:strCache>
                <c:ptCount val="1"/>
                <c:pt idx="0">
                  <c:v>WC/GR</c:v>
                </c:pt>
              </c:strCache>
            </c:strRef>
          </c:cat>
          <c:val>
            <c:numRef>
              <c:extLst>
                <c:ext xmlns:c15="http://schemas.microsoft.com/office/drawing/2012/chart" uri="{02D57815-91ED-43cb-92C2-25804820EDAC}">
                  <c15:fullRef>
                    <c15:sqref>'Financial Scorecard'!$T$18:$T$20</c15:sqref>
                  </c15:fullRef>
                </c:ext>
              </c:extLst>
              <c:f>'Financial Scorecard'!$T$20</c:f>
              <c:numCache>
                <c:formatCode>General</c:formatCode>
                <c:ptCount val="1"/>
                <c:pt idx="0">
                  <c:v>0.27</c:v>
                </c:pt>
              </c:numCache>
            </c:numRef>
          </c:val>
          <c:extLst>
            <c:ext xmlns:c16="http://schemas.microsoft.com/office/drawing/2014/chart" uri="{F5D05F6E-A05E-4728-AFD3-386EB277150F}">
              <c16:categoryFilterExceptions>
                <c16:categoryFilterException>
                  <c16:uniqueId val="{00000002-48C0-4735-9EB4-FA8E32587B59}"/>
                  <c16:dLbl>
                    <c:idx val="-1"/>
                    <c:layout>
                      <c:manualLayout>
                        <c:x val="0"/>
                        <c:y val="0.28892663700322102"/>
                      </c:manualLayout>
                    </c:layout>
                    <c:tx>
                      <c:rich>
                        <a:bodyPr/>
                        <a:lstStyle/>
                        <a:p>
                          <a:fld id="{62DFF78F-A9B1-4529-BD60-56CC16F88A99}" type="CELLREF">
                            <a:rPr lang="en-US"/>
                            <a:pPr/>
                            <a:t>[CELLREF]</a:t>
                          </a:fld>
                          <a:endParaRPr lang="en-US"/>
                        </a:p>
                      </c:rich>
                    </c:tx>
                    <c:showLegendKey val="0"/>
                    <c:showVal val="1"/>
                    <c:showCatName val="0"/>
                    <c:showSerName val="0"/>
                    <c:showPercent val="0"/>
                    <c:showBubbleSize val="0"/>
                    <c:extLst>
                      <c:ext xmlns:c15="http://schemas.microsoft.com/office/drawing/2012/chart" uri="{CE6537A1-D6FC-4f65-9D91-7224C49458BB}">
                        <c15:dlblFieldTable>
                          <c15:dlblFTEntry>
                            <c15:txfldGUID>{62DFF78F-A9B1-4529-BD60-56CC16F88A99}</c15:txfldGUID>
                            <c15:f>'Financial Scorecard'!$G$18</c15:f>
                            <c15:dlblFieldTableCache>
                              <c:ptCount val="1"/>
                              <c:pt idx="0">
                                <c:v>0%</c:v>
                              </c:pt>
                            </c15:dlblFieldTableCache>
                          </c15:dlblFTEntry>
                        </c15:dlblFieldTable>
                        <c15:showDataLabelsRange val="0"/>
                      </c:ext>
                      <c:ext uri="{C3380CC4-5D6E-409C-BE32-E72D297353CC}">
                        <c16:uniqueId val="{00000002-48C0-4735-9EB4-FA8E32587B59}"/>
                      </c:ext>
                    </c:extLst>
                  </c16:dLbl>
                </c16:categoryFilterException>
              </c16:categoryFilterExceptions>
            </c:ext>
            <c:ext xmlns:c16="http://schemas.microsoft.com/office/drawing/2014/chart" uri="{C5897E43-82E2-4C41-B96C-FBF1F857EA46}">
              <c16:datapointuniqueidmap xmlns:c16="http://schemas.microsoft.com/office/drawing/2014/chart">
                <c16:ptentry>
                  <c16:ptidx>0</c16:ptidx>
                  <c16:uniqueID val="{00000002-48C0-4735-9EB4-FA8E32587B59}"/>
                </c16:ptentry>
              </c16:datapointuniqueidmap>
            </c:ext>
            <c:ext xmlns:c16="http://schemas.microsoft.com/office/drawing/2014/chart" uri="{C3380CC4-5D6E-409C-BE32-E72D297353CC}">
              <c16:uniqueId val="{00000003-48C0-4735-9EB4-FA8E32587B59}"/>
            </c:ext>
          </c:extLst>
        </c:ser>
        <c:dLbls>
          <c:showLegendKey val="0"/>
          <c:showVal val="0"/>
          <c:showCatName val="0"/>
          <c:showSerName val="0"/>
          <c:showPercent val="0"/>
          <c:showBubbleSize val="0"/>
        </c:dLbls>
        <c:gapWidth val="50"/>
        <c:overlap val="100"/>
        <c:axId val="419031976"/>
        <c:axId val="522590560"/>
      </c:barChart>
      <c:catAx>
        <c:axId val="521008736"/>
        <c:scaling>
          <c:orientation val="maxMin"/>
        </c:scaling>
        <c:delete val="1"/>
        <c:axPos val="l"/>
        <c:majorGridlines>
          <c:spPr>
            <a:ln w="9525" cap="flat" cmpd="sng" algn="ctr">
              <a:noFill/>
              <a:round/>
            </a:ln>
            <a:effectLst/>
          </c:spPr>
        </c:majorGridlines>
        <c:numFmt formatCode="General" sourceLinked="1"/>
        <c:majorTickMark val="none"/>
        <c:minorTickMark val="none"/>
        <c:tickLblPos val="nextTo"/>
        <c:crossAx val="414620848"/>
        <c:crossesAt val="0"/>
        <c:auto val="1"/>
        <c:lblAlgn val="ctr"/>
        <c:lblOffset val="100"/>
        <c:noMultiLvlLbl val="0"/>
      </c:catAx>
      <c:valAx>
        <c:axId val="414620848"/>
        <c:scaling>
          <c:orientation val="minMax"/>
          <c:max val="10"/>
          <c:min val="0"/>
        </c:scaling>
        <c:delete val="1"/>
        <c:axPos val="t"/>
        <c:numFmt formatCode="General" sourceLinked="1"/>
        <c:majorTickMark val="out"/>
        <c:minorTickMark val="none"/>
        <c:tickLblPos val="nextTo"/>
        <c:crossAx val="521008736"/>
        <c:crosses val="autoZero"/>
        <c:crossBetween val="between"/>
      </c:valAx>
      <c:valAx>
        <c:axId val="522590560"/>
        <c:scaling>
          <c:orientation val="minMax"/>
          <c:max val="9"/>
          <c:min val="0"/>
        </c:scaling>
        <c:delete val="1"/>
        <c:axPos val="b"/>
        <c:numFmt formatCode="General" sourceLinked="1"/>
        <c:majorTickMark val="out"/>
        <c:minorTickMark val="none"/>
        <c:tickLblPos val="nextTo"/>
        <c:crossAx val="419031976"/>
        <c:crosses val="max"/>
        <c:crossBetween val="between"/>
      </c:valAx>
      <c:catAx>
        <c:axId val="419031976"/>
        <c:scaling>
          <c:orientation val="maxMin"/>
        </c:scaling>
        <c:delete val="1"/>
        <c:axPos val="l"/>
        <c:numFmt formatCode="General" sourceLinked="1"/>
        <c:majorTickMark val="out"/>
        <c:minorTickMark val="none"/>
        <c:tickLblPos val="nextTo"/>
        <c:crossAx val="522590560"/>
        <c:crossesAt val="0"/>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269694894232483E-2"/>
          <c:y val="0.26484767940728721"/>
          <c:w val="0.93146061021153503"/>
          <c:h val="0.47030464118542559"/>
        </c:manualLayout>
      </c:layout>
      <c:barChart>
        <c:barDir val="bar"/>
        <c:grouping val="stacked"/>
        <c:varyColors val="0"/>
        <c:ser>
          <c:idx val="1"/>
          <c:order val="0"/>
          <c:tx>
            <c:strRef>
              <c:f>'Financial Scorecard'!$R$22</c:f>
              <c:strCache>
                <c:ptCount val="1"/>
                <c:pt idx="0">
                  <c:v>Spectrum</c:v>
                </c:pt>
              </c:strCache>
            </c:strRef>
          </c:tx>
          <c:spPr>
            <a:gradFill flip="none" rotWithShape="1">
              <a:gsLst>
                <a:gs pos="67000">
                  <a:srgbClr val="00B050"/>
                </a:gs>
                <a:gs pos="33000">
                  <a:srgbClr val="FF0000"/>
                </a:gs>
                <a:gs pos="66000">
                  <a:srgbClr val="FFFF00"/>
                </a:gs>
                <a:gs pos="34000">
                  <a:srgbClr val="FFFF00"/>
                </a:gs>
              </a:gsLst>
              <a:lin ang="0" scaled="0"/>
              <a:tileRect/>
            </a:gradFill>
            <a:ln>
              <a:noFill/>
            </a:ln>
            <a:effectLst/>
          </c:spPr>
          <c:invertIfNegative val="0"/>
          <c:cat>
            <c:strRef>
              <c:extLst>
                <c:ext xmlns:c15="http://schemas.microsoft.com/office/drawing/2012/chart" uri="{02D57815-91ED-43cb-92C2-25804820EDAC}">
                  <c15:fullRef>
                    <c15:sqref>'Financial Scorecard'!$P$23:$P$26</c15:sqref>
                  </c15:fullRef>
                </c:ext>
              </c:extLst>
              <c:f>'Financial Scorecard'!$P$24</c:f>
              <c:strCache>
                <c:ptCount val="1"/>
                <c:pt idx="0">
                  <c:v>Return on Assets</c:v>
                </c:pt>
              </c:strCache>
            </c:strRef>
          </c:cat>
          <c:val>
            <c:numRef>
              <c:extLst>
                <c:ext xmlns:c15="http://schemas.microsoft.com/office/drawing/2012/chart" uri="{02D57815-91ED-43cb-92C2-25804820EDAC}">
                  <c15:fullRef>
                    <c15:sqref>'Financial Scorecard'!$R$23:$R$26</c15:sqref>
                  </c15:fullRef>
                </c:ext>
              </c:extLst>
              <c:f>'Financial Scorecard'!$R$24</c:f>
              <c:numCache>
                <c:formatCode>General</c:formatCode>
                <c:ptCount val="1"/>
                <c:pt idx="0">
                  <c:v>10</c:v>
                </c:pt>
              </c:numCache>
            </c:numRef>
          </c:val>
          <c:extLst>
            <c:ext xmlns:c16="http://schemas.microsoft.com/office/drawing/2014/chart" uri="{C3380CC4-5D6E-409C-BE32-E72D297353CC}">
              <c16:uniqueId val="{00000000-1A66-4556-A336-4C524BB895E6}"/>
            </c:ext>
          </c:extLst>
        </c:ser>
        <c:dLbls>
          <c:showLegendKey val="0"/>
          <c:showVal val="0"/>
          <c:showCatName val="0"/>
          <c:showSerName val="0"/>
          <c:showPercent val="0"/>
          <c:showBubbleSize val="0"/>
        </c:dLbls>
        <c:gapWidth val="150"/>
        <c:overlap val="100"/>
        <c:axId val="521008736"/>
        <c:axId val="414620848"/>
      </c:barChart>
      <c:barChart>
        <c:barDir val="bar"/>
        <c:grouping val="stacked"/>
        <c:varyColors val="0"/>
        <c:ser>
          <c:idx val="2"/>
          <c:order val="1"/>
          <c:tx>
            <c:strRef>
              <c:f>'Financial Scorecard'!$S$22</c:f>
              <c:strCache>
                <c:ptCount val="1"/>
                <c:pt idx="0">
                  <c:v>Slider Fill</c:v>
                </c:pt>
              </c:strCache>
            </c:strRef>
          </c:tx>
          <c:spPr>
            <a:noFill/>
            <a:ln>
              <a:noFill/>
            </a:ln>
            <a:effectLst/>
          </c:spPr>
          <c:invertIfNegative val="0"/>
          <c:cat>
            <c:strRef>
              <c:extLst>
                <c:ext xmlns:c15="http://schemas.microsoft.com/office/drawing/2012/chart" uri="{02D57815-91ED-43cb-92C2-25804820EDAC}">
                  <c15:fullRef>
                    <c15:sqref>'Financial Scorecard'!$P$23:$P$26</c15:sqref>
                  </c15:fullRef>
                </c:ext>
              </c:extLst>
              <c:f>'Financial Scorecard'!$P$24</c:f>
              <c:strCache>
                <c:ptCount val="1"/>
                <c:pt idx="0">
                  <c:v>Return on Assets</c:v>
                </c:pt>
              </c:strCache>
            </c:strRef>
          </c:cat>
          <c:val>
            <c:numRef>
              <c:extLst>
                <c:ext xmlns:c15="http://schemas.microsoft.com/office/drawing/2012/chart" uri="{02D57815-91ED-43cb-92C2-25804820EDAC}">
                  <c15:fullRef>
                    <c15:sqref>'Financial Scorecard'!$S$23:$S$26</c15:sqref>
                  </c15:fullRef>
                </c:ext>
              </c:extLst>
              <c:f>'Financial Scorecard'!$S$24</c:f>
              <c:numCache>
                <c:formatCode>General</c:formatCode>
                <c:ptCount val="1"/>
                <c:pt idx="0">
                  <c:v>0</c:v>
                </c:pt>
              </c:numCache>
            </c:numRef>
          </c:val>
          <c:extLst>
            <c:ext xmlns:c16="http://schemas.microsoft.com/office/drawing/2014/chart" uri="{C3380CC4-5D6E-409C-BE32-E72D297353CC}">
              <c16:uniqueId val="{00000001-1A66-4556-A336-4C524BB895E6}"/>
            </c:ext>
          </c:extLst>
        </c:ser>
        <c:ser>
          <c:idx val="0"/>
          <c:order val="2"/>
          <c:tx>
            <c:strRef>
              <c:f>'Financial Scorecard'!$T$22</c:f>
              <c:strCache>
                <c:ptCount val="1"/>
                <c:pt idx="0">
                  <c:v>Slider Size</c:v>
                </c:pt>
              </c:strCache>
            </c:strRef>
          </c:tx>
          <c:spPr>
            <a:solidFill>
              <a:schemeClr val="bg1">
                <a:lumMod val="85000"/>
              </a:schemeClr>
            </a:solidFill>
            <a:ln>
              <a:solidFill>
                <a:schemeClr val="tx1"/>
              </a:solidFill>
            </a:ln>
            <a:effectLst/>
          </c:spPr>
          <c:invertIfNegative val="0"/>
          <c:dLbls>
            <c:dLbl>
              <c:idx val="0"/>
              <c:layout>
                <c:manualLayout>
                  <c:x val="6.2308536171331794E-3"/>
                  <c:y val="0.31300369876751988"/>
                </c:manualLayout>
              </c:layout>
              <c:tx>
                <c:strRef>
                  <c:f>'Financial Scorecard'!$G$24</c:f>
                  <c:strCache>
                    <c:ptCount val="1"/>
                    <c:pt idx="0">
                      <c:v>0.0%</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{DDC27AEF-EA95-467A-ADFE-E15D0A72ACBD}</c15:txfldGUID>
                      <c15:f>'Financial Scorecard'!$G$24</c15:f>
                      <c15:dlblFieldTableCache>
                        <c:ptCount val="1"/>
                        <c:pt idx="0">
                          <c:v>0.0%</c:v>
                        </c:pt>
                      </c15:dlblFieldTableCache>
                    </c15:dlblFTEntry>
                  </c15:dlblFieldTable>
                  <c15:showDataLabelsRange val="0"/>
                </c:ext>
                <c:ext xmlns:c16="http://schemas.microsoft.com/office/drawing/2014/chart" uri="{C3380CC4-5D6E-409C-BE32-E72D297353CC}">
                  <c16:uniqueId val="{00000002-1A66-4556-A336-4C524BB895E6}"/>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'Financial Scorecard'!$P$23:$P$26</c15:sqref>
                  </c15:fullRef>
                </c:ext>
              </c:extLst>
              <c:f>'Financial Scorecard'!$P$24</c:f>
              <c:strCache>
                <c:ptCount val="1"/>
                <c:pt idx="0">
                  <c:v>Return on Assets</c:v>
                </c:pt>
              </c:strCache>
            </c:strRef>
          </c:cat>
          <c:val>
            <c:numRef>
              <c:extLst>
                <c:ext xmlns:c15="http://schemas.microsoft.com/office/drawing/2012/chart" uri="{02D57815-91ED-43cb-92C2-25804820EDAC}">
                  <c15:fullRef>
                    <c15:sqref>'Financial Scorecard'!$T$23:$T$26</c15:sqref>
                  </c15:fullRef>
                </c:ext>
              </c:extLst>
              <c:f>'Financial Scorecard'!$T$24</c:f>
              <c:numCache>
                <c:formatCode>General</c:formatCode>
                <c:ptCount val="1"/>
                <c:pt idx="0">
                  <c:v>0.27</c:v>
                </c:pt>
              </c:numCache>
            </c:numRef>
          </c:val>
          <c:extLst>
            <c:ext xmlns:c15="http://schemas.microsoft.com/office/drawing/2012/chart" uri="{02D57815-91ED-43cb-92C2-25804820EDAC}">
              <c15:categoryFilterExceptions>
                <c15:categoryFilterException>
                  <c15:sqref>'Financial Scorecard'!$T$23</c15:sqref>
                  <c15:dLbl>
                    <c:idx val="-1"/>
                    <c:layout>
                      <c:manualLayout>
                        <c:x val="0"/>
                        <c:y val="0.28892663700322102"/>
                      </c:manualLayout>
                    </c:layout>
                    <c:tx>
                      <c:rich>
                        <a:bodyPr/>
                        <a:lstStyle/>
                        <a:p>
                          <a:fld id="{62DFF78F-A9B1-4529-BD60-56CC16F88A99}" type="CELLREF">
                            <a:rPr lang="en-US"/>
                            <a:pPr/>
                            <a:t>[CELLREF]</a:t>
                          </a:fld>
                          <a:endParaRPr lang="en-US"/>
                        </a:p>
                      </c:rich>
                    </c:tx>
                    <c:showLegendKey val="0"/>
                    <c:showVal val="1"/>
                    <c:showCatName val="0"/>
                    <c:showSerName val="0"/>
                    <c:showPercent val="0"/>
                    <c:showBubbleSize val="0"/>
                    <c:extLst xmlns:c16="http://schemas.microsoft.com/office/drawing/2014/chart">
                      <c:ext uri="{CE6537A1-D6FC-4f65-9D91-7224C49458BB}">
                        <c15:dlblFieldTable>
                          <c15:dlblFTEntry>
                            <c15:txfldGUID>{62DFF78F-A9B1-4529-BD60-56CC16F88A99}</c15:txfldGUID>
                            <c15:f>'Financial Scorecard'!$G$18</c15:f>
                            <c15:dlblFieldTableCache>
                              <c:ptCount val="1"/>
                              <c:pt idx="0">
                                <c:v>0%</c:v>
                              </c:pt>
                            </c15:dlblFieldTableCache>
                          </c15:dlblFTEntry>
                        </c15:dlblFieldTable>
                        <c15:showDataLabelsRange val="0"/>
                      </c:ext>
                      <c:ext xmlns:c16="http://schemas.microsoft.com/office/drawing/2014/chart" uri="{C3380CC4-5D6E-409C-BE32-E72D297353CC}">
                        <c16:uniqueId val="{00000000-B76B-4DC6-AB40-F3F8E95093F2}"/>
                      </c:ext>
                    </c:extLst>
                  </c15:dLbl>
                </c15:categoryFilterException>
              </c15:categoryFilterExceptions>
            </c:ext>
            <c:ext xmlns:c16="http://schemas.microsoft.com/office/drawing/2014/chart" uri="{C3380CC4-5D6E-409C-BE32-E72D297353CC}">
              <c16:uniqueId val="{00000003-1A66-4556-A336-4C524BB895E6}"/>
            </c:ext>
          </c:extLst>
        </c:ser>
        <c:dLbls>
          <c:showLegendKey val="0"/>
          <c:showVal val="0"/>
          <c:showCatName val="0"/>
          <c:showSerName val="0"/>
          <c:showPercent val="0"/>
          <c:showBubbleSize val="0"/>
        </c:dLbls>
        <c:gapWidth val="50"/>
        <c:overlap val="100"/>
        <c:axId val="419031976"/>
        <c:axId val="522590560"/>
      </c:barChart>
      <c:catAx>
        <c:axId val="521008736"/>
        <c:scaling>
          <c:orientation val="maxMin"/>
        </c:scaling>
        <c:delete val="1"/>
        <c:axPos val="l"/>
        <c:majorGridlines>
          <c:spPr>
            <a:ln w="9525" cap="flat" cmpd="sng" algn="ctr">
              <a:noFill/>
              <a:round/>
            </a:ln>
            <a:effectLst/>
          </c:spPr>
        </c:majorGridlines>
        <c:numFmt formatCode="General" sourceLinked="1"/>
        <c:majorTickMark val="none"/>
        <c:minorTickMark val="none"/>
        <c:tickLblPos val="nextTo"/>
        <c:crossAx val="414620848"/>
        <c:crossesAt val="0"/>
        <c:auto val="1"/>
        <c:lblAlgn val="ctr"/>
        <c:lblOffset val="100"/>
        <c:noMultiLvlLbl val="0"/>
      </c:catAx>
      <c:valAx>
        <c:axId val="414620848"/>
        <c:scaling>
          <c:orientation val="minMax"/>
          <c:max val="10"/>
          <c:min val="0"/>
        </c:scaling>
        <c:delete val="1"/>
        <c:axPos val="t"/>
        <c:numFmt formatCode="General" sourceLinked="1"/>
        <c:majorTickMark val="out"/>
        <c:minorTickMark val="none"/>
        <c:tickLblPos val="nextTo"/>
        <c:crossAx val="521008736"/>
        <c:crosses val="autoZero"/>
        <c:crossBetween val="between"/>
      </c:valAx>
      <c:valAx>
        <c:axId val="522590560"/>
        <c:scaling>
          <c:orientation val="minMax"/>
          <c:max val="9"/>
          <c:min val="0"/>
        </c:scaling>
        <c:delete val="1"/>
        <c:axPos val="b"/>
        <c:numFmt formatCode="General" sourceLinked="1"/>
        <c:majorTickMark val="out"/>
        <c:minorTickMark val="none"/>
        <c:tickLblPos val="nextTo"/>
        <c:crossAx val="419031976"/>
        <c:crosses val="max"/>
        <c:crossBetween val="between"/>
      </c:valAx>
      <c:catAx>
        <c:axId val="419031976"/>
        <c:scaling>
          <c:orientation val="maxMin"/>
        </c:scaling>
        <c:delete val="1"/>
        <c:axPos val="l"/>
        <c:numFmt formatCode="General" sourceLinked="1"/>
        <c:majorTickMark val="out"/>
        <c:minorTickMark val="none"/>
        <c:tickLblPos val="nextTo"/>
        <c:crossAx val="522590560"/>
        <c:crossesAt val="0"/>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269694894232483E-2"/>
          <c:y val="0.26484767940728721"/>
          <c:w val="0.93146061021153503"/>
          <c:h val="0.47030464118542559"/>
        </c:manualLayout>
      </c:layout>
      <c:barChart>
        <c:barDir val="bar"/>
        <c:grouping val="stacked"/>
        <c:varyColors val="0"/>
        <c:ser>
          <c:idx val="1"/>
          <c:order val="0"/>
          <c:tx>
            <c:strRef>
              <c:f>'Financial Scorecard'!$R$22</c:f>
              <c:strCache>
                <c:ptCount val="1"/>
                <c:pt idx="0">
                  <c:v>Spectrum</c:v>
                </c:pt>
              </c:strCache>
            </c:strRef>
          </c:tx>
          <c:spPr>
            <a:gradFill flip="none" rotWithShape="1">
              <a:gsLst>
                <a:gs pos="67000">
                  <a:srgbClr val="00B050"/>
                </a:gs>
                <a:gs pos="33000">
                  <a:srgbClr val="FF0000"/>
                </a:gs>
                <a:gs pos="66000">
                  <a:srgbClr val="FFFF00"/>
                </a:gs>
                <a:gs pos="34000">
                  <a:srgbClr val="FFFF00"/>
                </a:gs>
              </a:gsLst>
              <a:lin ang="0" scaled="0"/>
              <a:tileRect/>
            </a:gradFill>
            <a:ln>
              <a:noFill/>
            </a:ln>
            <a:effectLst/>
          </c:spPr>
          <c:invertIfNegative val="0"/>
          <c:cat>
            <c:strRef>
              <c:extLst>
                <c:ext xmlns:c15="http://schemas.microsoft.com/office/drawing/2012/chart" uri="{02D57815-91ED-43cb-92C2-25804820EDAC}">
                  <c15:fullRef>
                    <c15:sqref>'Financial Scorecard'!$P$23:$P$26</c15:sqref>
                  </c15:fullRef>
                </c:ext>
              </c:extLst>
              <c:f>'Financial Scorecard'!$P$25</c:f>
              <c:strCache>
                <c:ptCount val="1"/>
                <c:pt idx="0">
                  <c:v>Return on Equity</c:v>
                </c:pt>
              </c:strCache>
            </c:strRef>
          </c:cat>
          <c:val>
            <c:numRef>
              <c:extLst>
                <c:ext xmlns:c15="http://schemas.microsoft.com/office/drawing/2012/chart" uri="{02D57815-91ED-43cb-92C2-25804820EDAC}">
                  <c15:fullRef>
                    <c15:sqref>'Financial Scorecard'!$R$23:$R$26</c15:sqref>
                  </c15:fullRef>
                </c:ext>
              </c:extLst>
              <c:f>'Financial Scorecard'!$R$25</c:f>
              <c:numCache>
                <c:formatCode>General</c:formatCode>
                <c:ptCount val="1"/>
                <c:pt idx="0">
                  <c:v>10</c:v>
                </c:pt>
              </c:numCache>
            </c:numRef>
          </c:val>
          <c:extLst>
            <c:ext xmlns:c16="http://schemas.microsoft.com/office/drawing/2014/chart" uri="{C3380CC4-5D6E-409C-BE32-E72D297353CC}">
              <c16:uniqueId val="{00000000-934F-47E3-AE38-7C66FD4EE8BC}"/>
            </c:ext>
          </c:extLst>
        </c:ser>
        <c:dLbls>
          <c:showLegendKey val="0"/>
          <c:showVal val="0"/>
          <c:showCatName val="0"/>
          <c:showSerName val="0"/>
          <c:showPercent val="0"/>
          <c:showBubbleSize val="0"/>
        </c:dLbls>
        <c:gapWidth val="150"/>
        <c:overlap val="100"/>
        <c:axId val="521008736"/>
        <c:axId val="414620848"/>
      </c:barChart>
      <c:barChart>
        <c:barDir val="bar"/>
        <c:grouping val="stacked"/>
        <c:varyColors val="0"/>
        <c:ser>
          <c:idx val="2"/>
          <c:order val="1"/>
          <c:tx>
            <c:strRef>
              <c:f>'Financial Scorecard'!$S$22</c:f>
              <c:strCache>
                <c:ptCount val="1"/>
                <c:pt idx="0">
                  <c:v>Slider Fill</c:v>
                </c:pt>
              </c:strCache>
            </c:strRef>
          </c:tx>
          <c:spPr>
            <a:noFill/>
            <a:ln>
              <a:noFill/>
            </a:ln>
            <a:effectLst/>
          </c:spPr>
          <c:invertIfNegative val="0"/>
          <c:cat>
            <c:strRef>
              <c:extLst>
                <c:ext xmlns:c15="http://schemas.microsoft.com/office/drawing/2012/chart" uri="{02D57815-91ED-43cb-92C2-25804820EDAC}">
                  <c15:fullRef>
                    <c15:sqref>'Financial Scorecard'!$P$23:$P$26</c15:sqref>
                  </c15:fullRef>
                </c:ext>
              </c:extLst>
              <c:f>'Financial Scorecard'!$P$25</c:f>
              <c:strCache>
                <c:ptCount val="1"/>
                <c:pt idx="0">
                  <c:v>Return on Equity</c:v>
                </c:pt>
              </c:strCache>
            </c:strRef>
          </c:cat>
          <c:val>
            <c:numRef>
              <c:extLst>
                <c:ext xmlns:c15="http://schemas.microsoft.com/office/drawing/2012/chart" uri="{02D57815-91ED-43cb-92C2-25804820EDAC}">
                  <c15:fullRef>
                    <c15:sqref>'Financial Scorecard'!$S$23:$S$26</c15:sqref>
                  </c15:fullRef>
                </c:ext>
              </c:extLst>
              <c:f>'Financial Scorecard'!$S$25</c:f>
              <c:numCache>
                <c:formatCode>General</c:formatCode>
                <c:ptCount val="1"/>
                <c:pt idx="0">
                  <c:v>0</c:v>
                </c:pt>
              </c:numCache>
            </c:numRef>
          </c:val>
          <c:extLst>
            <c:ext xmlns:c16="http://schemas.microsoft.com/office/drawing/2014/chart" uri="{C3380CC4-5D6E-409C-BE32-E72D297353CC}">
              <c16:uniqueId val="{00000001-934F-47E3-AE38-7C66FD4EE8BC}"/>
            </c:ext>
          </c:extLst>
        </c:ser>
        <c:ser>
          <c:idx val="0"/>
          <c:order val="2"/>
          <c:tx>
            <c:strRef>
              <c:f>'Financial Scorecard'!$T$22</c:f>
              <c:strCache>
                <c:ptCount val="1"/>
                <c:pt idx="0">
                  <c:v>Slider Size</c:v>
                </c:pt>
              </c:strCache>
            </c:strRef>
          </c:tx>
          <c:spPr>
            <a:solidFill>
              <a:schemeClr val="bg1">
                <a:lumMod val="85000"/>
              </a:schemeClr>
            </a:solidFill>
            <a:ln>
              <a:solidFill>
                <a:schemeClr val="tx1"/>
              </a:solidFill>
            </a:ln>
            <a:effectLst/>
          </c:spPr>
          <c:invertIfNegative val="0"/>
          <c:dLbls>
            <c:dLbl>
              <c:idx val="0"/>
              <c:layout>
                <c:manualLayout>
                  <c:x val="0"/>
                  <c:y val="0.30555555555555558"/>
                </c:manualLayout>
              </c:layout>
              <c:tx>
                <c:rich>
                  <a:bodyPr/>
                  <a:lstStyle/>
                  <a:p>
                    <a:fld id="{D174F8CA-63D4-4BC9-81AB-64593506C5A7}" type="CELLREF">
                      <a:rPr lang="en-US"/>
                      <a:pPr/>
                      <a:t>[CELLREF]</a:t>
                    </a:fld>
                    <a:endParaRPr lang="en-US"/>
                  </a:p>
                </c:rich>
              </c:tx>
              <c:showLegendKey val="0"/>
              <c:showVal val="1"/>
              <c:showCatName val="0"/>
              <c:showSerName val="0"/>
              <c:showPercent val="0"/>
              <c:showBubbleSize val="0"/>
              <c:extLst>
                <c:ext xmlns:c15="http://schemas.microsoft.com/office/drawing/2012/chart" uri="{CE6537A1-D6FC-4f65-9D91-7224C49458BB}">
                  <c15:dlblFieldTable>
                    <c15:dlblFTEntry>
                      <c15:txfldGUID>{D174F8CA-63D4-4BC9-81AB-64593506C5A7}</c15:txfldGUID>
                      <c15:f>'Financial Scorecard'!$G$25</c15:f>
                      <c15:dlblFieldTableCache>
                        <c:ptCount val="1"/>
                        <c:pt idx="0">
                          <c:v>0.0%</c:v>
                        </c:pt>
                      </c15:dlblFieldTableCache>
                    </c15:dlblFTEntry>
                  </c15:dlblFieldTable>
                  <c15:showDataLabelsRange val="0"/>
                </c:ext>
                <c:ext xmlns:c16="http://schemas.microsoft.com/office/drawing/2014/chart" uri="{C3380CC4-5D6E-409C-BE32-E72D297353CC}">
                  <c16:uniqueId val="{00000005-934F-47E3-AE38-7C66FD4EE8B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'Financial Scorecard'!$P$23:$P$26</c15:sqref>
                  </c15:fullRef>
                </c:ext>
              </c:extLst>
              <c:f>'Financial Scorecard'!$P$25</c:f>
              <c:strCache>
                <c:ptCount val="1"/>
                <c:pt idx="0">
                  <c:v>Return on Equity</c:v>
                </c:pt>
              </c:strCache>
            </c:strRef>
          </c:cat>
          <c:val>
            <c:numRef>
              <c:extLst>
                <c:ext xmlns:c15="http://schemas.microsoft.com/office/drawing/2012/chart" uri="{02D57815-91ED-43cb-92C2-25804820EDAC}">
                  <c15:fullRef>
                    <c15:sqref>'Financial Scorecard'!$T$23:$T$26</c15:sqref>
                  </c15:fullRef>
                </c:ext>
              </c:extLst>
              <c:f>'Financial Scorecard'!$T$25</c:f>
              <c:numCache>
                <c:formatCode>General</c:formatCode>
                <c:ptCount val="1"/>
                <c:pt idx="0">
                  <c:v>0.27</c:v>
                </c:pt>
              </c:numCache>
            </c:numRef>
          </c:val>
          <c:extLst>
            <c:ext xmlns:c15="http://schemas.microsoft.com/office/drawing/2012/chart" uri="{02D57815-91ED-43cb-92C2-25804820EDAC}">
              <c15:categoryFilterExceptions>
                <c15:categoryFilterException>
                  <c15:sqref>'Financial Scorecard'!$T$23</c15:sqref>
                  <c15:dLbl>
                    <c:idx val="-1"/>
                    <c:layout>
                      <c:manualLayout>
                        <c:x val="0"/>
                        <c:y val="0.28892663700322102"/>
                      </c:manualLayout>
                    </c:layout>
                    <c:tx>
                      <c:rich>
                        <a:bodyPr/>
                        <a:lstStyle/>
                        <a:p>
                          <a:fld id="{62DFF78F-A9B1-4529-BD60-56CC16F88A99}" type="CELLREF">
                            <a:rPr lang="en-US"/>
                            <a:pPr/>
                            <a:t>[CELLREF]</a:t>
                          </a:fld>
                          <a:endParaRPr lang="en-US"/>
                        </a:p>
                      </c:rich>
                    </c:tx>
                    <c:showLegendKey val="0"/>
                    <c:showVal val="1"/>
                    <c:showCatName val="0"/>
                    <c:showSerName val="0"/>
                    <c:showPercent val="0"/>
                    <c:showBubbleSize val="0"/>
                    <c:extLst xmlns:c16="http://schemas.microsoft.com/office/drawing/2014/chart">
                      <c:ext uri="{CE6537A1-D6FC-4f65-9D91-7224C49458BB}">
                        <c15:dlblFieldTable>
                          <c15:dlblFTEntry>
                            <c15:txfldGUID>{62DFF78F-A9B1-4529-BD60-56CC16F88A99}</c15:txfldGUID>
                            <c15:f>'Financial Scorecard'!$G$18</c15:f>
                            <c15:dlblFieldTableCache>
                              <c:ptCount val="1"/>
                              <c:pt idx="0">
                                <c:v>0%</c:v>
                              </c:pt>
                            </c15:dlblFieldTableCache>
                          </c15:dlblFTEntry>
                        </c15:dlblFieldTable>
                        <c15:showDataLabelsRange val="0"/>
                      </c:ext>
                      <c:ext xmlns:c16="http://schemas.microsoft.com/office/drawing/2014/chart" uri="{C3380CC4-5D6E-409C-BE32-E72D297353CC}">
                        <c16:uniqueId val="{00000000-51F1-4552-A2C3-7D2C5C6526CC}"/>
                      </c:ext>
                    </c:extLst>
                  </c15:dLbl>
                </c15:categoryFilterException>
                <c15:categoryFilterException>
                  <c15:sqref>'Financial Scorecard'!$T$24</c15:sqref>
                  <c15:dLbl>
                    <c:idx val="-1"/>
                    <c:layout>
                      <c:manualLayout>
                        <c:x val="6.2308536171331794E-3"/>
                        <c:y val="0.31300369876751988"/>
                      </c:manualLayout>
                    </c:layout>
                    <c:tx>
                      <c:strRef>
                        <c:f>'Financial Scorecard'!$G$24</c:f>
                        <c:strCache>
                          <c:ptCount val="1"/>
                          <c:pt idx="0">
                            <c:v>0.0%</c:v>
                          </c:pt>
                        </c:strCache>
                      </c:strRef>
                    </c:tx>
                    <c:showLegendKey val="0"/>
                    <c:showVal val="1"/>
                    <c:showCatName val="0"/>
                    <c:showSerName val="0"/>
                    <c:showPercent val="0"/>
                    <c:showBubbleSize val="0"/>
                    <c:extLst>
                      <c:ext uri="{CE6537A1-D6FC-4f65-9D91-7224C49458BB}">
                        <c15:dlblFieldTable>
                          <c15:dlblFTEntry>
                            <c15:txfldGUID>{D43F853B-FF27-4BAC-9BD6-ECC4B7042607}</c15:txfldGUID>
                            <c15:f>'Financial Scorecard'!$G$24</c15:f>
                            <c15:dlblFieldTableCache>
                              <c:ptCount val="1"/>
                              <c:pt idx="0">
                                <c:v>0.0%</c:v>
                              </c:pt>
                            </c15:dlblFieldTableCache>
                          </c15:dlblFTEntry>
                        </c15:dlblFieldTable>
                        <c15:showDataLabelsRange val="0"/>
                      </c:ext>
                      <c:ext xmlns:c16="http://schemas.microsoft.com/office/drawing/2014/chart" uri="{C3380CC4-5D6E-409C-BE32-E72D297353CC}">
                        <c16:uniqueId val="{00000001-51F1-4552-A2C3-7D2C5C6526CC}"/>
                      </c:ext>
                    </c:extLst>
                  </c15:dLbl>
                </c15:categoryFilterException>
              </c15:categoryFilterExceptions>
            </c:ext>
            <c:ext xmlns:c16="http://schemas.microsoft.com/office/drawing/2014/chart" uri="{C3380CC4-5D6E-409C-BE32-E72D297353CC}">
              <c16:uniqueId val="{00000003-934F-47E3-AE38-7C66FD4EE8BC}"/>
            </c:ext>
          </c:extLst>
        </c:ser>
        <c:dLbls>
          <c:showLegendKey val="0"/>
          <c:showVal val="0"/>
          <c:showCatName val="0"/>
          <c:showSerName val="0"/>
          <c:showPercent val="0"/>
          <c:showBubbleSize val="0"/>
        </c:dLbls>
        <c:gapWidth val="50"/>
        <c:overlap val="100"/>
        <c:axId val="419031976"/>
        <c:axId val="522590560"/>
      </c:barChart>
      <c:catAx>
        <c:axId val="521008736"/>
        <c:scaling>
          <c:orientation val="maxMin"/>
        </c:scaling>
        <c:delete val="1"/>
        <c:axPos val="l"/>
        <c:majorGridlines>
          <c:spPr>
            <a:ln w="9525" cap="flat" cmpd="sng" algn="ctr">
              <a:noFill/>
              <a:round/>
            </a:ln>
            <a:effectLst/>
          </c:spPr>
        </c:majorGridlines>
        <c:numFmt formatCode="General" sourceLinked="1"/>
        <c:majorTickMark val="none"/>
        <c:minorTickMark val="none"/>
        <c:tickLblPos val="nextTo"/>
        <c:crossAx val="414620848"/>
        <c:crossesAt val="0"/>
        <c:auto val="1"/>
        <c:lblAlgn val="ctr"/>
        <c:lblOffset val="100"/>
        <c:noMultiLvlLbl val="0"/>
      </c:catAx>
      <c:valAx>
        <c:axId val="414620848"/>
        <c:scaling>
          <c:orientation val="minMax"/>
          <c:max val="10"/>
          <c:min val="0"/>
        </c:scaling>
        <c:delete val="1"/>
        <c:axPos val="t"/>
        <c:numFmt formatCode="General" sourceLinked="1"/>
        <c:majorTickMark val="out"/>
        <c:minorTickMark val="none"/>
        <c:tickLblPos val="nextTo"/>
        <c:crossAx val="521008736"/>
        <c:crosses val="autoZero"/>
        <c:crossBetween val="between"/>
      </c:valAx>
      <c:valAx>
        <c:axId val="522590560"/>
        <c:scaling>
          <c:orientation val="minMax"/>
          <c:max val="9"/>
          <c:min val="0"/>
        </c:scaling>
        <c:delete val="1"/>
        <c:axPos val="b"/>
        <c:numFmt formatCode="General" sourceLinked="1"/>
        <c:majorTickMark val="out"/>
        <c:minorTickMark val="none"/>
        <c:tickLblPos val="nextTo"/>
        <c:crossAx val="419031976"/>
        <c:crosses val="max"/>
        <c:crossBetween val="between"/>
      </c:valAx>
      <c:catAx>
        <c:axId val="419031976"/>
        <c:scaling>
          <c:orientation val="maxMin"/>
        </c:scaling>
        <c:delete val="1"/>
        <c:axPos val="l"/>
        <c:numFmt formatCode="General" sourceLinked="1"/>
        <c:majorTickMark val="out"/>
        <c:minorTickMark val="none"/>
        <c:tickLblPos val="nextTo"/>
        <c:crossAx val="522590560"/>
        <c:crossesAt val="0"/>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269694894232483E-2"/>
          <c:y val="0.26484767940728721"/>
          <c:w val="0.93146061021153503"/>
          <c:h val="0.47030464118542559"/>
        </c:manualLayout>
      </c:layout>
      <c:barChart>
        <c:barDir val="bar"/>
        <c:grouping val="stacked"/>
        <c:varyColors val="0"/>
        <c:ser>
          <c:idx val="1"/>
          <c:order val="0"/>
          <c:tx>
            <c:strRef>
              <c:f>'Financial Scorecard'!$R$22</c:f>
              <c:strCache>
                <c:ptCount val="1"/>
                <c:pt idx="0">
                  <c:v>Spectrum</c:v>
                </c:pt>
              </c:strCache>
            </c:strRef>
          </c:tx>
          <c:spPr>
            <a:gradFill flip="none" rotWithShape="1">
              <a:gsLst>
                <a:gs pos="67000">
                  <a:srgbClr val="00B050"/>
                </a:gs>
                <a:gs pos="32000">
                  <a:srgbClr val="FF0000"/>
                </a:gs>
                <a:gs pos="66000">
                  <a:srgbClr val="FFFF00"/>
                </a:gs>
                <a:gs pos="36000">
                  <a:srgbClr val="FFFF00"/>
                </a:gs>
              </a:gsLst>
              <a:lin ang="0" scaled="0"/>
              <a:tileRect/>
            </a:gradFill>
            <a:ln>
              <a:noFill/>
            </a:ln>
            <a:effectLst/>
          </c:spPr>
          <c:invertIfNegative val="0"/>
          <c:cat>
            <c:strRef>
              <c:extLst>
                <c:ext xmlns:c15="http://schemas.microsoft.com/office/drawing/2012/chart" uri="{02D57815-91ED-43cb-92C2-25804820EDAC}">
                  <c15:fullRef>
                    <c15:sqref>'Financial Scorecard'!$P$23:$P$26</c15:sqref>
                  </c15:fullRef>
                </c:ext>
              </c:extLst>
              <c:f>'Financial Scorecard'!$P$26</c:f>
              <c:strCache>
                <c:ptCount val="1"/>
                <c:pt idx="0">
                  <c:v>Operating Profit Margin</c:v>
                </c:pt>
              </c:strCache>
            </c:strRef>
          </c:cat>
          <c:val>
            <c:numRef>
              <c:extLst>
                <c:ext xmlns:c15="http://schemas.microsoft.com/office/drawing/2012/chart" uri="{02D57815-91ED-43cb-92C2-25804820EDAC}">
                  <c15:fullRef>
                    <c15:sqref>'Financial Scorecard'!$R$23:$R$26</c15:sqref>
                  </c15:fullRef>
                </c:ext>
              </c:extLst>
              <c:f>'Financial Scorecard'!$R$26</c:f>
              <c:numCache>
                <c:formatCode>General</c:formatCode>
                <c:ptCount val="1"/>
                <c:pt idx="0">
                  <c:v>10</c:v>
                </c:pt>
              </c:numCache>
            </c:numRef>
          </c:val>
          <c:extLst>
            <c:ext xmlns:c16="http://schemas.microsoft.com/office/drawing/2014/chart" uri="{C3380CC4-5D6E-409C-BE32-E72D297353CC}">
              <c16:uniqueId val="{00000000-8F84-4433-8A1A-03B5D70A7F29}"/>
            </c:ext>
          </c:extLst>
        </c:ser>
        <c:dLbls>
          <c:showLegendKey val="0"/>
          <c:showVal val="0"/>
          <c:showCatName val="0"/>
          <c:showSerName val="0"/>
          <c:showPercent val="0"/>
          <c:showBubbleSize val="0"/>
        </c:dLbls>
        <c:gapWidth val="150"/>
        <c:overlap val="100"/>
        <c:axId val="521008736"/>
        <c:axId val="414620848"/>
      </c:barChart>
      <c:barChart>
        <c:barDir val="bar"/>
        <c:grouping val="stacked"/>
        <c:varyColors val="0"/>
        <c:ser>
          <c:idx val="2"/>
          <c:order val="1"/>
          <c:tx>
            <c:strRef>
              <c:f>'Financial Scorecard'!$S$22</c:f>
              <c:strCache>
                <c:ptCount val="1"/>
                <c:pt idx="0">
                  <c:v>Slider Fill</c:v>
                </c:pt>
              </c:strCache>
            </c:strRef>
          </c:tx>
          <c:spPr>
            <a:noFill/>
            <a:ln>
              <a:noFill/>
            </a:ln>
            <a:effectLst/>
          </c:spPr>
          <c:invertIfNegative val="0"/>
          <c:cat>
            <c:strRef>
              <c:extLst>
                <c:ext xmlns:c15="http://schemas.microsoft.com/office/drawing/2012/chart" uri="{02D57815-91ED-43cb-92C2-25804820EDAC}">
                  <c15:fullRef>
                    <c15:sqref>'Financial Scorecard'!$P$23:$P$26</c15:sqref>
                  </c15:fullRef>
                </c:ext>
              </c:extLst>
              <c:f>'Financial Scorecard'!$P$26</c:f>
              <c:strCache>
                <c:ptCount val="1"/>
                <c:pt idx="0">
                  <c:v>Operating Profit Margin</c:v>
                </c:pt>
              </c:strCache>
            </c:strRef>
          </c:cat>
          <c:val>
            <c:numRef>
              <c:extLst>
                <c:ext xmlns:c15="http://schemas.microsoft.com/office/drawing/2012/chart" uri="{02D57815-91ED-43cb-92C2-25804820EDAC}">
                  <c15:fullRef>
                    <c15:sqref>'Financial Scorecard'!$S$23:$S$26</c15:sqref>
                  </c15:fullRef>
                </c:ext>
              </c:extLst>
              <c:f>'Financial Scorecard'!$S$26</c:f>
              <c:numCache>
                <c:formatCode>General</c:formatCode>
                <c:ptCount val="1"/>
                <c:pt idx="0">
                  <c:v>0</c:v>
                </c:pt>
              </c:numCache>
            </c:numRef>
          </c:val>
          <c:extLst>
            <c:ext xmlns:c16="http://schemas.microsoft.com/office/drawing/2014/chart" uri="{C3380CC4-5D6E-409C-BE32-E72D297353CC}">
              <c16:uniqueId val="{00000001-8F84-4433-8A1A-03B5D70A7F29}"/>
            </c:ext>
          </c:extLst>
        </c:ser>
        <c:ser>
          <c:idx val="0"/>
          <c:order val="2"/>
          <c:tx>
            <c:strRef>
              <c:f>'Financial Scorecard'!$T$22</c:f>
              <c:strCache>
                <c:ptCount val="1"/>
                <c:pt idx="0">
                  <c:v>Slider Size</c:v>
                </c:pt>
              </c:strCache>
            </c:strRef>
          </c:tx>
          <c:spPr>
            <a:solidFill>
              <a:schemeClr val="bg1">
                <a:lumMod val="85000"/>
              </a:schemeClr>
            </a:solidFill>
            <a:ln>
              <a:solidFill>
                <a:schemeClr val="tx1"/>
              </a:solidFill>
            </a:ln>
            <a:effectLst/>
          </c:spPr>
          <c:invertIfNegative val="0"/>
          <c:dLbls>
            <c:dLbl>
              <c:idx val="0"/>
              <c:layout>
                <c:manualLayout>
                  <c:x val="0"/>
                  <c:y val="0.27777777777777779"/>
                </c:manualLayout>
              </c:layout>
              <c:tx>
                <c:rich>
                  <a:bodyPr/>
                  <a:lstStyle/>
                  <a:p>
                    <a:fld id="{7021C411-9FDD-4BD3-89DB-812EB74C1A93}" type="CELLREF">
                      <a:rPr lang="en-US"/>
                      <a:pPr/>
                      <a:t>[CELLREF]</a:t>
                    </a:fld>
                    <a:endParaRPr lang="en-US"/>
                  </a:p>
                </c:rich>
              </c:tx>
              <c:showLegendKey val="0"/>
              <c:showVal val="1"/>
              <c:showCatName val="0"/>
              <c:showSerName val="0"/>
              <c:showPercent val="0"/>
              <c:showBubbleSize val="0"/>
              <c:extLst>
                <c:ext xmlns:c15="http://schemas.microsoft.com/office/drawing/2012/chart" uri="{CE6537A1-D6FC-4f65-9D91-7224C49458BB}">
                  <c15:dlblFieldTable>
                    <c15:dlblFTEntry>
                      <c15:txfldGUID>{7021C411-9FDD-4BD3-89DB-812EB74C1A93}</c15:txfldGUID>
                      <c15:f>'Financial Scorecard'!$G$26</c15:f>
                      <c15:dlblFieldTableCache>
                        <c:ptCount val="1"/>
                        <c:pt idx="0">
                          <c:v>0.0%</c:v>
                        </c:pt>
                      </c15:dlblFieldTableCache>
                    </c15:dlblFTEntry>
                  </c15:dlblFieldTable>
                  <c15:showDataLabelsRange val="0"/>
                </c:ext>
                <c:ext xmlns:c16="http://schemas.microsoft.com/office/drawing/2014/chart" uri="{C3380CC4-5D6E-409C-BE32-E72D297353CC}">
                  <c16:uniqueId val="{00000006-8F84-4433-8A1A-03B5D70A7F2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'Financial Scorecard'!$P$23:$P$26</c15:sqref>
                  </c15:fullRef>
                </c:ext>
              </c:extLst>
              <c:f>'Financial Scorecard'!$P$26</c:f>
              <c:strCache>
                <c:ptCount val="1"/>
                <c:pt idx="0">
                  <c:v>Operating Profit Margin</c:v>
                </c:pt>
              </c:strCache>
            </c:strRef>
          </c:cat>
          <c:val>
            <c:numRef>
              <c:extLst>
                <c:ext xmlns:c15="http://schemas.microsoft.com/office/drawing/2012/chart" uri="{02D57815-91ED-43cb-92C2-25804820EDAC}">
                  <c15:fullRef>
                    <c15:sqref>'Financial Scorecard'!$T$23:$T$26</c15:sqref>
                  </c15:fullRef>
                </c:ext>
              </c:extLst>
              <c:f>'Financial Scorecard'!$T$26</c:f>
              <c:numCache>
                <c:formatCode>General</c:formatCode>
                <c:ptCount val="1"/>
                <c:pt idx="0">
                  <c:v>0.27</c:v>
                </c:pt>
              </c:numCache>
            </c:numRef>
          </c:val>
          <c:extLst>
            <c:ext xmlns:c15="http://schemas.microsoft.com/office/drawing/2012/chart" uri="{02D57815-91ED-43cb-92C2-25804820EDAC}">
              <c15:categoryFilterExceptions>
                <c15:categoryFilterException>
                  <c15:sqref>'Financial Scorecard'!$T$23</c15:sqref>
                  <c15:dLbl>
                    <c:idx val="-1"/>
                    <c:layout>
                      <c:manualLayout>
                        <c:x val="0"/>
                        <c:y val="0.28892663700322102"/>
                      </c:manualLayout>
                    </c:layout>
                    <c:tx>
                      <c:rich>
                        <a:bodyPr/>
                        <a:lstStyle/>
                        <a:p>
                          <a:fld id="{62DFF78F-A9B1-4529-BD60-56CC16F88A99}" type="CELLREF">
                            <a:rPr lang="en-US"/>
                            <a:pPr/>
                            <a:t>[CELLREF]</a:t>
                          </a:fld>
                          <a:endParaRPr lang="en-US"/>
                        </a:p>
                      </c:rich>
                    </c:tx>
                    <c:showLegendKey val="0"/>
                    <c:showVal val="1"/>
                    <c:showCatName val="0"/>
                    <c:showSerName val="0"/>
                    <c:showPercent val="0"/>
                    <c:showBubbleSize val="0"/>
                    <c:extLst xmlns:c16="http://schemas.microsoft.com/office/drawing/2014/chart">
                      <c:ext uri="{CE6537A1-D6FC-4f65-9D91-7224C49458BB}">
                        <c15:dlblFieldTable>
                          <c15:dlblFTEntry>
                            <c15:txfldGUID>{62DFF78F-A9B1-4529-BD60-56CC16F88A99}</c15:txfldGUID>
                            <c15:f>'Financial Scorecard'!$G$18</c15:f>
                            <c15:dlblFieldTableCache>
                              <c:ptCount val="1"/>
                              <c:pt idx="0">
                                <c:v>0%</c:v>
                              </c:pt>
                            </c15:dlblFieldTableCache>
                          </c15:dlblFTEntry>
                        </c15:dlblFieldTable>
                        <c15:showDataLabelsRange val="0"/>
                      </c:ext>
                      <c:ext xmlns:c16="http://schemas.microsoft.com/office/drawing/2014/chart" uri="{C3380CC4-5D6E-409C-BE32-E72D297353CC}">
                        <c16:uniqueId val="{00000000-D0D8-4D9D-85CD-70F52B698BFE}"/>
                      </c:ext>
                    </c:extLst>
                  </c15:dLbl>
                </c15:categoryFilterException>
                <c15:categoryFilterException>
                  <c15:sqref>'Financial Scorecard'!$T$24</c15:sqref>
                  <c15:dLbl>
                    <c:idx val="-1"/>
                    <c:layout>
                      <c:manualLayout>
                        <c:x val="6.2308536171331794E-3"/>
                        <c:y val="0.31300369876751988"/>
                      </c:manualLayout>
                    </c:layout>
                    <c:tx>
                      <c:strRef>
                        <c:f>'Financial Scorecard'!$G$24</c:f>
                        <c:strCache>
                          <c:ptCount val="1"/>
                          <c:pt idx="0">
                            <c:v>0.0%</c:v>
                          </c:pt>
                        </c:strCache>
                      </c:strRef>
                    </c:tx>
                    <c:showLegendKey val="0"/>
                    <c:showVal val="1"/>
                    <c:showCatName val="0"/>
                    <c:showSerName val="0"/>
                    <c:showPercent val="0"/>
                    <c:showBubbleSize val="0"/>
                    <c:extLst>
                      <c:ext uri="{CE6537A1-D6FC-4f65-9D91-7224C49458BB}">
                        <c15:dlblFieldTable>
                          <c15:dlblFTEntry>
                            <c15:txfldGUID>{E93F77C2-D312-4BC0-8BDC-8986B23BD7A4}</c15:txfldGUID>
                            <c15:f>'Financial Scorecard'!$G$24</c15:f>
                            <c15:dlblFieldTableCache>
                              <c:ptCount val="1"/>
                              <c:pt idx="0">
                                <c:v>0.0%</c:v>
                              </c:pt>
                            </c15:dlblFieldTableCache>
                          </c15:dlblFTEntry>
                        </c15:dlblFieldTable>
                        <c15:showDataLabelsRange val="0"/>
                      </c:ext>
                      <c:ext xmlns:c16="http://schemas.microsoft.com/office/drawing/2014/chart" uri="{C3380CC4-5D6E-409C-BE32-E72D297353CC}">
                        <c16:uniqueId val="{00000001-D0D8-4D9D-85CD-70F52B698BFE}"/>
                      </c:ext>
                    </c:extLst>
                  </c15:dLbl>
                </c15:categoryFilterException>
                <c15:categoryFilterException>
                  <c15:sqref>'Financial Scorecard'!$T$25</c15:sqref>
                  <c15:dLbl>
                    <c:idx val="-1"/>
                    <c:layout>
                      <c:manualLayout>
                        <c:x val="0"/>
                        <c:y val="0.30555555555555558"/>
                      </c:manualLayout>
                    </c:layout>
                    <c:tx>
                      <c:rich>
                        <a:bodyPr/>
                        <a:lstStyle/>
                        <a:p>
                          <a:fld id="{AC361A47-63B0-4BA1-A55D-E6B6BC0F7D0F}" type="CELLREF">
                            <a:rPr lang="en-US"/>
                            <a:pPr/>
                            <a:t>[CELLREF]</a:t>
                          </a:fld>
                          <a:endParaRPr lang="en-US"/>
                        </a:p>
                      </c:rich>
                    </c:tx>
                    <c:showLegendKey val="0"/>
                    <c:showVal val="1"/>
                    <c:showCatName val="0"/>
                    <c:showSerName val="0"/>
                    <c:showPercent val="0"/>
                    <c:showBubbleSize val="0"/>
                    <c:extLst>
                      <c:ext uri="{CE6537A1-D6FC-4f65-9D91-7224C49458BB}">
                        <c15:dlblFieldTable>
                          <c15:dlblFTEntry>
                            <c15:txfldGUID>{AC361A47-63B0-4BA1-A55D-E6B6BC0F7D0F}</c15:txfldGUID>
                            <c15:f>'Financial Scorecard'!$G$26</c15:f>
                            <c15:dlblFieldTableCache>
                              <c:ptCount val="1"/>
                              <c:pt idx="0">
                                <c:v>0.0%</c:v>
                              </c:pt>
                            </c15:dlblFieldTableCache>
                          </c15:dlblFTEntry>
                        </c15:dlblFieldTable>
                        <c15:showDataLabelsRange val="0"/>
                      </c:ext>
                      <c:ext xmlns:c16="http://schemas.microsoft.com/office/drawing/2014/chart" uri="{C3380CC4-5D6E-409C-BE32-E72D297353CC}">
                        <c16:uniqueId val="{00000002-D0D8-4D9D-85CD-70F52B698BFE}"/>
                      </c:ext>
                    </c:extLst>
                  </c15:dLbl>
                </c15:categoryFilterException>
              </c15:categoryFilterExceptions>
            </c:ext>
            <c:ext xmlns:c16="http://schemas.microsoft.com/office/drawing/2014/chart" uri="{C3380CC4-5D6E-409C-BE32-E72D297353CC}">
              <c16:uniqueId val="{00000003-8F84-4433-8A1A-03B5D70A7F29}"/>
            </c:ext>
          </c:extLst>
        </c:ser>
        <c:dLbls>
          <c:showLegendKey val="0"/>
          <c:showVal val="0"/>
          <c:showCatName val="0"/>
          <c:showSerName val="0"/>
          <c:showPercent val="0"/>
          <c:showBubbleSize val="0"/>
        </c:dLbls>
        <c:gapWidth val="50"/>
        <c:overlap val="100"/>
        <c:axId val="419031976"/>
        <c:axId val="522590560"/>
      </c:barChart>
      <c:catAx>
        <c:axId val="521008736"/>
        <c:scaling>
          <c:orientation val="maxMin"/>
        </c:scaling>
        <c:delete val="1"/>
        <c:axPos val="l"/>
        <c:majorGridlines>
          <c:spPr>
            <a:ln w="9525" cap="flat" cmpd="sng" algn="ctr">
              <a:noFill/>
              <a:round/>
            </a:ln>
            <a:effectLst/>
          </c:spPr>
        </c:majorGridlines>
        <c:numFmt formatCode="General" sourceLinked="1"/>
        <c:majorTickMark val="none"/>
        <c:minorTickMark val="none"/>
        <c:tickLblPos val="nextTo"/>
        <c:crossAx val="414620848"/>
        <c:crossesAt val="0"/>
        <c:auto val="1"/>
        <c:lblAlgn val="ctr"/>
        <c:lblOffset val="100"/>
        <c:noMultiLvlLbl val="0"/>
      </c:catAx>
      <c:valAx>
        <c:axId val="414620848"/>
        <c:scaling>
          <c:orientation val="minMax"/>
          <c:max val="10"/>
          <c:min val="0"/>
        </c:scaling>
        <c:delete val="1"/>
        <c:axPos val="t"/>
        <c:numFmt formatCode="General" sourceLinked="1"/>
        <c:majorTickMark val="out"/>
        <c:minorTickMark val="none"/>
        <c:tickLblPos val="nextTo"/>
        <c:crossAx val="521008736"/>
        <c:crosses val="autoZero"/>
        <c:crossBetween val="between"/>
      </c:valAx>
      <c:valAx>
        <c:axId val="522590560"/>
        <c:scaling>
          <c:orientation val="minMax"/>
          <c:max val="9"/>
          <c:min val="0"/>
        </c:scaling>
        <c:delete val="1"/>
        <c:axPos val="b"/>
        <c:numFmt formatCode="General" sourceLinked="1"/>
        <c:majorTickMark val="out"/>
        <c:minorTickMark val="none"/>
        <c:tickLblPos val="nextTo"/>
        <c:crossAx val="419031976"/>
        <c:crosses val="max"/>
        <c:crossBetween val="between"/>
      </c:valAx>
      <c:catAx>
        <c:axId val="419031976"/>
        <c:scaling>
          <c:orientation val="maxMin"/>
        </c:scaling>
        <c:delete val="1"/>
        <c:axPos val="l"/>
        <c:numFmt formatCode="General" sourceLinked="1"/>
        <c:majorTickMark val="out"/>
        <c:minorTickMark val="none"/>
        <c:tickLblPos val="nextTo"/>
        <c:crossAx val="522590560"/>
        <c:crossesAt val="0"/>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269694894232483E-2"/>
          <c:y val="0.26484767940728721"/>
          <c:w val="0.93146061021153503"/>
          <c:h val="0.47030464118542559"/>
        </c:manualLayout>
      </c:layout>
      <c:barChart>
        <c:barDir val="bar"/>
        <c:grouping val="stacked"/>
        <c:varyColors val="0"/>
        <c:ser>
          <c:idx val="1"/>
          <c:order val="0"/>
          <c:tx>
            <c:strRef>
              <c:f>'Financial Scorecard'!$R$28</c:f>
              <c:strCache>
                <c:ptCount val="1"/>
                <c:pt idx="0">
                  <c:v>Spectrum</c:v>
                </c:pt>
              </c:strCache>
            </c:strRef>
          </c:tx>
          <c:spPr>
            <a:gradFill flip="none" rotWithShape="1">
              <a:gsLst>
                <a:gs pos="67000">
                  <a:srgbClr val="00B050"/>
                </a:gs>
                <a:gs pos="33000">
                  <a:srgbClr val="FF0000"/>
                </a:gs>
                <a:gs pos="66000">
                  <a:srgbClr val="FFFF00"/>
                </a:gs>
                <a:gs pos="34000">
                  <a:srgbClr val="FFFF00"/>
                </a:gs>
              </a:gsLst>
              <a:lin ang="0" scaled="0"/>
              <a:tileRect/>
            </a:gradFill>
            <a:ln>
              <a:noFill/>
            </a:ln>
            <a:effectLst/>
          </c:spPr>
          <c:invertIfNegative val="0"/>
          <c:cat>
            <c:strRef>
              <c:f>'Financial Scorecard'!$P$29</c:f>
              <c:strCache>
                <c:ptCount val="1"/>
                <c:pt idx="0">
                  <c:v>Term Debt Coverage Ratio</c:v>
                </c:pt>
              </c:strCache>
            </c:strRef>
          </c:cat>
          <c:val>
            <c:numRef>
              <c:f>'Financial Scorecard'!$R$29</c:f>
              <c:numCache>
                <c:formatCode>General</c:formatCode>
                <c:ptCount val="1"/>
                <c:pt idx="0">
                  <c:v>10</c:v>
                </c:pt>
              </c:numCache>
            </c:numRef>
          </c:val>
          <c:extLst>
            <c:ext xmlns:c16="http://schemas.microsoft.com/office/drawing/2014/chart" uri="{C3380CC4-5D6E-409C-BE32-E72D297353CC}">
              <c16:uniqueId val="{00000000-57F7-4229-8C78-12AE7525BFD5}"/>
            </c:ext>
          </c:extLst>
        </c:ser>
        <c:dLbls>
          <c:showLegendKey val="0"/>
          <c:showVal val="0"/>
          <c:showCatName val="0"/>
          <c:showSerName val="0"/>
          <c:showPercent val="0"/>
          <c:showBubbleSize val="0"/>
        </c:dLbls>
        <c:gapWidth val="150"/>
        <c:overlap val="100"/>
        <c:axId val="521008736"/>
        <c:axId val="414620848"/>
      </c:barChart>
      <c:barChart>
        <c:barDir val="bar"/>
        <c:grouping val="stacked"/>
        <c:varyColors val="0"/>
        <c:ser>
          <c:idx val="2"/>
          <c:order val="1"/>
          <c:tx>
            <c:strRef>
              <c:f>'Financial Scorecard'!$S$28</c:f>
              <c:strCache>
                <c:ptCount val="1"/>
                <c:pt idx="0">
                  <c:v>Slider Fill</c:v>
                </c:pt>
              </c:strCache>
            </c:strRef>
          </c:tx>
          <c:spPr>
            <a:noFill/>
            <a:ln>
              <a:noFill/>
            </a:ln>
            <a:effectLst/>
          </c:spPr>
          <c:invertIfNegative val="0"/>
          <c:cat>
            <c:strRef>
              <c:f>'Financial Scorecard'!$P$29</c:f>
              <c:strCache>
                <c:ptCount val="1"/>
                <c:pt idx="0">
                  <c:v>Term Debt Coverage Ratio</c:v>
                </c:pt>
              </c:strCache>
            </c:strRef>
          </c:cat>
          <c:val>
            <c:numRef>
              <c:f>'Financial Scorecard'!$S$29</c:f>
              <c:numCache>
                <c:formatCode>General</c:formatCode>
                <c:ptCount val="1"/>
                <c:pt idx="0">
                  <c:v>0</c:v>
                </c:pt>
              </c:numCache>
            </c:numRef>
          </c:val>
          <c:extLst>
            <c:ext xmlns:c16="http://schemas.microsoft.com/office/drawing/2014/chart" uri="{C3380CC4-5D6E-409C-BE32-E72D297353CC}">
              <c16:uniqueId val="{00000001-57F7-4229-8C78-12AE7525BFD5}"/>
            </c:ext>
          </c:extLst>
        </c:ser>
        <c:ser>
          <c:idx val="0"/>
          <c:order val="2"/>
          <c:tx>
            <c:strRef>
              <c:f>'Financial Scorecard'!$T$28</c:f>
              <c:strCache>
                <c:ptCount val="1"/>
                <c:pt idx="0">
                  <c:v>Slider Size</c:v>
                </c:pt>
              </c:strCache>
            </c:strRef>
          </c:tx>
          <c:spPr>
            <a:solidFill>
              <a:schemeClr val="bg1">
                <a:lumMod val="85000"/>
              </a:schemeClr>
            </a:solidFill>
            <a:ln>
              <a:solidFill>
                <a:schemeClr val="tx1"/>
              </a:solidFill>
            </a:ln>
            <a:effectLst/>
          </c:spPr>
          <c:invertIfNegative val="0"/>
          <c:dLbls>
            <c:dLbl>
              <c:idx val="0"/>
              <c:layout>
                <c:manualLayout>
                  <c:x val="0"/>
                  <c:y val="0.28892663700322102"/>
                </c:manualLayout>
              </c:layout>
              <c:tx>
                <c:rich>
                  <a:bodyPr/>
                  <a:lstStyle/>
                  <a:p>
                    <a:fld id="{1E74BCB3-730C-4F5B-91A7-285343ABE5DB}" type="CELLREF">
                      <a:rPr lang="en-US"/>
                      <a:pPr/>
                      <a:t>[CELLREF]</a:t>
                    </a:fld>
                    <a:endParaRPr lang="en-US"/>
                  </a:p>
                </c:rich>
              </c:tx>
              <c:showLegendKey val="0"/>
              <c:showVal val="1"/>
              <c:showCatName val="0"/>
              <c:showSerName val="0"/>
              <c:showPercent val="0"/>
              <c:showBubbleSize val="0"/>
              <c:extLst xmlns:c16="http://schemas.microsoft.com/office/drawing/2014/chart" xmlns:c15="http://schemas.microsoft.com/office/drawing/2012/chart">
                <c:ext xmlns:c15="http://schemas.microsoft.com/office/drawing/2012/chart" uri="{CE6537A1-D6FC-4f65-9D91-7224C49458BB}">
                  <c15:dlblFieldTable>
                    <c15:dlblFTEntry>
                      <c15:txfldGUID>{1E74BCB3-730C-4F5B-91A7-285343ABE5DB}</c15:txfldGUID>
                      <c15:f>'Financial Scorecard'!$G$29</c15:f>
                      <c15:dlblFieldTableCache>
                        <c:ptCount val="1"/>
                        <c:pt idx="0">
                          <c:v>0:1</c:v>
                        </c:pt>
                      </c15:dlblFieldTableCache>
                    </c15:dlblFTEntry>
                  </c15:dlblFieldTable>
                  <c15:showDataLabelsRange val="0"/>
                </c:ext>
                <c:ext xmlns:c16="http://schemas.microsoft.com/office/drawing/2014/chart" uri="{C3380CC4-5D6E-409C-BE32-E72D297353CC}">
                  <c16:uniqueId val="{00000004-57F7-4229-8C78-12AE7525BFD5}"/>
                </c:ext>
              </c:extLst>
            </c:dLbl>
            <c:dLbl>
              <c:idx val="1"/>
              <c:layout>
                <c:manualLayout>
                  <c:x val="6.2308536171331794E-3"/>
                  <c:y val="0.31300369876751988"/>
                </c:manualLayout>
              </c:layout>
              <c:tx>
                <c:strRef>
                  <c:f>'Financial Scorecard'!$G$24</c:f>
                  <c:strCache>
                    <c:ptCount val="1"/>
                    <c:pt idx="0">
                      <c:v>0.0%</c:v>
                    </c:pt>
                  </c:strCache>
                </c:strRef>
              </c:tx>
              <c:showLegendKey val="0"/>
              <c:showVal val="1"/>
              <c:showCatName val="0"/>
              <c:showSerName val="0"/>
              <c:showPercent val="0"/>
              <c:showBubbleSize val="0"/>
              <c:extLst xmlns:c15="http://schemas.microsoft.com/office/drawing/2012/chart">
                <c:ext xmlns:c15="http://schemas.microsoft.com/office/drawing/2012/chart" uri="{CE6537A1-D6FC-4f65-9D91-7224C49458BB}">
                  <c15:dlblFieldTable>
                    <c15:dlblFTEntry>
                      <c15:txfldGUID>{0AC697C9-F855-41F7-AD46-15FD1E0CE7CA}</c15:txfldGUID>
                      <c15:f>'Financial Scorecard'!$G$24</c15:f>
                      <c15:dlblFieldTableCache>
                        <c:ptCount val="1"/>
                        <c:pt idx="0">
                          <c:v>0.0%</c:v>
                        </c:pt>
                      </c15:dlblFieldTableCache>
                    </c15:dlblFTEntry>
                  </c15:dlblFieldTable>
                  <c15:showDataLabelsRange val="0"/>
                </c:ext>
                <c:ext xmlns:c16="http://schemas.microsoft.com/office/drawing/2014/chart" uri="{C3380CC4-5D6E-409C-BE32-E72D297353CC}">
                  <c16:uniqueId val="{00000005-57F7-4229-8C78-12AE7525BFD5}"/>
                </c:ext>
              </c:extLst>
            </c:dLbl>
            <c:dLbl>
              <c:idx val="2"/>
              <c:layout>
                <c:manualLayout>
                  <c:x val="0"/>
                  <c:y val="0.30555555555555558"/>
                </c:manualLayout>
              </c:layout>
              <c:tx>
                <c:rich>
                  <a:bodyPr/>
                  <a:lstStyle/>
                  <a:p>
                    <a:fld id="{AC361A47-63B0-4BA1-A55D-E6B6BC0F7D0F}" type="CELLREF">
                      <a:rPr lang="en-US"/>
                      <a:pPr/>
                      <a:t>[CELLREF]</a:t>
                    </a:fld>
                    <a:endParaRPr lang="en-US"/>
                  </a:p>
                </c:rich>
              </c:tx>
              <c:showLegendKey val="0"/>
              <c:showVal val="1"/>
              <c:showCatName val="0"/>
              <c:showSerName val="0"/>
              <c:showPercent val="0"/>
              <c:showBubbleSize val="0"/>
              <c:extLst xmlns:c15="http://schemas.microsoft.com/office/drawing/2012/chart">
                <c:ext xmlns:c15="http://schemas.microsoft.com/office/drawing/2012/chart" uri="{CE6537A1-D6FC-4f65-9D91-7224C49458BB}">
                  <c15:dlblFieldTable>
                    <c15:dlblFTEntry>
                      <c15:txfldGUID>{AC361A47-63B0-4BA1-A55D-E6B6BC0F7D0F}</c15:txfldGUID>
                      <c15:f>'Financial Scorecard'!$G$26</c15:f>
                      <c15:dlblFieldTableCache>
                        <c:ptCount val="1"/>
                        <c:pt idx="0">
                          <c:v>0.0%</c:v>
                        </c:pt>
                      </c15:dlblFieldTableCache>
                    </c15:dlblFTEntry>
                  </c15:dlblFieldTable>
                  <c15:showDataLabelsRange val="0"/>
                </c:ext>
                <c:ext xmlns:c16="http://schemas.microsoft.com/office/drawing/2014/chart" uri="{C3380CC4-5D6E-409C-BE32-E72D297353CC}">
                  <c16:uniqueId val="{00000006-57F7-4229-8C78-12AE7525BFD5}"/>
                </c:ext>
              </c:extLst>
            </c:dLbl>
            <c:dLbl>
              <c:idx val="3"/>
              <c:layout>
                <c:manualLayout>
                  <c:x val="0"/>
                  <c:y val="0.27777777777777779"/>
                </c:manualLayout>
              </c:layout>
              <c:tx>
                <c:rich>
                  <a:bodyPr/>
                  <a:lstStyle/>
                  <a:p>
                    <a:fld id="{7021C411-9FDD-4BD3-89DB-812EB74C1A93}" type="CELLREF">
                      <a:rPr lang="en-US"/>
                      <a:pPr/>
                      <a:t>[CELLREF]</a:t>
                    </a:fld>
                    <a:endParaRPr lang="en-US"/>
                  </a:p>
                </c:rich>
              </c:tx>
              <c:showLegendKey val="0"/>
              <c:showVal val="1"/>
              <c:showCatName val="0"/>
              <c:showSerName val="0"/>
              <c:showPercent val="0"/>
              <c:showBubbleSize val="0"/>
              <c:extLst>
                <c:ext xmlns:c15="http://schemas.microsoft.com/office/drawing/2012/chart" uri="{CE6537A1-D6FC-4f65-9D91-7224C49458BB}">
                  <c15:dlblFieldTable>
                    <c15:dlblFTEntry>
                      <c15:txfldGUID>{7021C411-9FDD-4BD3-89DB-812EB74C1A93}</c15:txfldGUID>
                      <c15:f>'Financial Scorecard'!$G$26</c15:f>
                      <c15:dlblFieldTableCache>
                        <c:ptCount val="1"/>
                        <c:pt idx="0">
                          <c:v>0.0%</c:v>
                        </c:pt>
                      </c15:dlblFieldTableCache>
                    </c15:dlblFTEntry>
                  </c15:dlblFieldTable>
                  <c15:showDataLabelsRange val="0"/>
                </c:ext>
                <c:ext xmlns:c16="http://schemas.microsoft.com/office/drawing/2014/chart" uri="{C3380CC4-5D6E-409C-BE32-E72D297353CC}">
                  <c16:uniqueId val="{00000002-57F7-4229-8C78-12AE7525BFD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'Financial Scorecard'!$P$29</c:f>
              <c:strCache>
                <c:ptCount val="1"/>
                <c:pt idx="0">
                  <c:v>Term Debt Coverage Ratio</c:v>
                </c:pt>
              </c:strCache>
            </c:strRef>
          </c:cat>
          <c:val>
            <c:numRef>
              <c:f>'Financial Scorecard'!$T$29</c:f>
              <c:numCache>
                <c:formatCode>General</c:formatCode>
                <c:ptCount val="1"/>
                <c:pt idx="0">
                  <c:v>0.27</c:v>
                </c:pt>
              </c:numCache>
            </c:numRef>
          </c:val>
          <c:extLst>
            <c:ext xmlns:c16="http://schemas.microsoft.com/office/drawing/2014/chart" uri="{C3380CC4-5D6E-409C-BE32-E72D297353CC}">
              <c16:uniqueId val="{00000003-57F7-4229-8C78-12AE7525BFD5}"/>
            </c:ext>
          </c:extLst>
        </c:ser>
        <c:dLbls>
          <c:showLegendKey val="0"/>
          <c:showVal val="0"/>
          <c:showCatName val="0"/>
          <c:showSerName val="0"/>
          <c:showPercent val="0"/>
          <c:showBubbleSize val="0"/>
        </c:dLbls>
        <c:gapWidth val="50"/>
        <c:overlap val="100"/>
        <c:axId val="419031976"/>
        <c:axId val="522590560"/>
      </c:barChart>
      <c:catAx>
        <c:axId val="521008736"/>
        <c:scaling>
          <c:orientation val="maxMin"/>
        </c:scaling>
        <c:delete val="1"/>
        <c:axPos val="l"/>
        <c:majorGridlines>
          <c:spPr>
            <a:ln w="9525" cap="flat" cmpd="sng" algn="ctr">
              <a:noFill/>
              <a:round/>
            </a:ln>
            <a:effectLst/>
          </c:spPr>
        </c:majorGridlines>
        <c:numFmt formatCode="General" sourceLinked="1"/>
        <c:majorTickMark val="none"/>
        <c:minorTickMark val="none"/>
        <c:tickLblPos val="nextTo"/>
        <c:crossAx val="414620848"/>
        <c:crossesAt val="0"/>
        <c:auto val="1"/>
        <c:lblAlgn val="ctr"/>
        <c:lblOffset val="100"/>
        <c:noMultiLvlLbl val="0"/>
      </c:catAx>
      <c:valAx>
        <c:axId val="414620848"/>
        <c:scaling>
          <c:orientation val="minMax"/>
          <c:max val="10"/>
          <c:min val="0"/>
        </c:scaling>
        <c:delete val="1"/>
        <c:axPos val="t"/>
        <c:numFmt formatCode="General" sourceLinked="1"/>
        <c:majorTickMark val="out"/>
        <c:minorTickMark val="none"/>
        <c:tickLblPos val="nextTo"/>
        <c:crossAx val="521008736"/>
        <c:crosses val="autoZero"/>
        <c:crossBetween val="between"/>
      </c:valAx>
      <c:valAx>
        <c:axId val="522590560"/>
        <c:scaling>
          <c:orientation val="minMax"/>
          <c:max val="9"/>
          <c:min val="0"/>
        </c:scaling>
        <c:delete val="1"/>
        <c:axPos val="b"/>
        <c:numFmt formatCode="General" sourceLinked="1"/>
        <c:majorTickMark val="out"/>
        <c:minorTickMark val="none"/>
        <c:tickLblPos val="nextTo"/>
        <c:crossAx val="419031976"/>
        <c:crosses val="max"/>
        <c:crossBetween val="between"/>
      </c:valAx>
      <c:catAx>
        <c:axId val="419031976"/>
        <c:scaling>
          <c:orientation val="maxMin"/>
        </c:scaling>
        <c:delete val="1"/>
        <c:axPos val="l"/>
        <c:numFmt formatCode="General" sourceLinked="1"/>
        <c:majorTickMark val="out"/>
        <c:minorTickMark val="none"/>
        <c:tickLblPos val="nextTo"/>
        <c:crossAx val="522590560"/>
        <c:crossesAt val="0"/>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269694894232483E-2"/>
          <c:y val="0.26484767940728721"/>
          <c:w val="0.93146061021153503"/>
          <c:h val="0.47030464118542559"/>
        </c:manualLayout>
      </c:layout>
      <c:barChart>
        <c:barDir val="bar"/>
        <c:grouping val="stacked"/>
        <c:varyColors val="0"/>
        <c:ser>
          <c:idx val="1"/>
          <c:order val="0"/>
          <c:tx>
            <c:strRef>
              <c:f>'Financial Scorecard'!$R$31</c:f>
              <c:strCache>
                <c:ptCount val="1"/>
                <c:pt idx="0">
                  <c:v>Spectrum</c:v>
                </c:pt>
              </c:strCache>
            </c:strRef>
          </c:tx>
          <c:spPr>
            <a:gradFill flip="none" rotWithShape="1">
              <a:gsLst>
                <a:gs pos="67000">
                  <a:srgbClr val="00B050"/>
                </a:gs>
                <a:gs pos="33000">
                  <a:srgbClr val="FF0000"/>
                </a:gs>
                <a:gs pos="66000">
                  <a:srgbClr val="FFFF00"/>
                </a:gs>
                <a:gs pos="34000">
                  <a:srgbClr val="FFFF00"/>
                </a:gs>
              </a:gsLst>
              <a:lin ang="0" scaled="0"/>
              <a:tileRect/>
            </a:gradFill>
            <a:ln>
              <a:noFill/>
            </a:ln>
            <a:effectLst/>
          </c:spPr>
          <c:invertIfNegative val="0"/>
          <c:cat>
            <c:strRef>
              <c:extLst>
                <c:ext xmlns:c15="http://schemas.microsoft.com/office/drawing/2012/chart" uri="{02D57815-91ED-43cb-92C2-25804820EDAC}">
                  <c15:fullRef>
                    <c15:sqref>'Financial Scorecard'!$P$32:$P$36</c15:sqref>
                  </c15:fullRef>
                </c:ext>
              </c:extLst>
              <c:f>'Financial Scorecard'!$P$32</c:f>
              <c:strCache>
                <c:ptCount val="1"/>
                <c:pt idx="0">
                  <c:v>Asset-Turnover Ratio</c:v>
                </c:pt>
              </c:strCache>
            </c:strRef>
          </c:cat>
          <c:val>
            <c:numRef>
              <c:extLst>
                <c:ext xmlns:c15="http://schemas.microsoft.com/office/drawing/2012/chart" uri="{02D57815-91ED-43cb-92C2-25804820EDAC}">
                  <c15:fullRef>
                    <c15:sqref>'Financial Scorecard'!$R$32:$R$36</c15:sqref>
                  </c15:fullRef>
                </c:ext>
              </c:extLst>
              <c:f>'Financial Scorecard'!$R$32</c:f>
              <c:numCache>
                <c:formatCode>General</c:formatCode>
                <c:ptCount val="1"/>
                <c:pt idx="0">
                  <c:v>10</c:v>
                </c:pt>
              </c:numCache>
            </c:numRef>
          </c:val>
          <c:extLst>
            <c:ext xmlns:c16="http://schemas.microsoft.com/office/drawing/2014/chart" uri="{C3380CC4-5D6E-409C-BE32-E72D297353CC}">
              <c16:uniqueId val="{00000000-DBD3-4D04-8C7B-54D0FFCFA37D}"/>
            </c:ext>
          </c:extLst>
        </c:ser>
        <c:dLbls>
          <c:showLegendKey val="0"/>
          <c:showVal val="0"/>
          <c:showCatName val="0"/>
          <c:showSerName val="0"/>
          <c:showPercent val="0"/>
          <c:showBubbleSize val="0"/>
        </c:dLbls>
        <c:gapWidth val="150"/>
        <c:overlap val="100"/>
        <c:axId val="521008736"/>
        <c:axId val="414620848"/>
      </c:barChart>
      <c:barChart>
        <c:barDir val="bar"/>
        <c:grouping val="stacked"/>
        <c:varyColors val="0"/>
        <c:ser>
          <c:idx val="2"/>
          <c:order val="1"/>
          <c:tx>
            <c:strRef>
              <c:f>'Financial Scorecard'!$S$31</c:f>
              <c:strCache>
                <c:ptCount val="1"/>
                <c:pt idx="0">
                  <c:v>Slider Fill</c:v>
                </c:pt>
              </c:strCache>
            </c:strRef>
          </c:tx>
          <c:spPr>
            <a:noFill/>
            <a:ln>
              <a:noFill/>
            </a:ln>
            <a:effectLst/>
          </c:spPr>
          <c:invertIfNegative val="0"/>
          <c:cat>
            <c:strRef>
              <c:extLst>
                <c:ext xmlns:c15="http://schemas.microsoft.com/office/drawing/2012/chart" uri="{02D57815-91ED-43cb-92C2-25804820EDAC}">
                  <c15:fullRef>
                    <c15:sqref>'Financial Scorecard'!$P$32:$P$36</c15:sqref>
                  </c15:fullRef>
                </c:ext>
              </c:extLst>
              <c:f>'Financial Scorecard'!$P$32</c:f>
              <c:strCache>
                <c:ptCount val="1"/>
                <c:pt idx="0">
                  <c:v>Asset-Turnover Ratio</c:v>
                </c:pt>
              </c:strCache>
            </c:strRef>
          </c:cat>
          <c:val>
            <c:numRef>
              <c:extLst>
                <c:ext xmlns:c15="http://schemas.microsoft.com/office/drawing/2012/chart" uri="{02D57815-91ED-43cb-92C2-25804820EDAC}">
                  <c15:fullRef>
                    <c15:sqref>'Financial Scorecard'!$S$32:$S$36</c15:sqref>
                  </c15:fullRef>
                </c:ext>
              </c:extLst>
              <c:f>'Financial Scorecard'!$S$32</c:f>
              <c:numCache>
                <c:formatCode>General</c:formatCode>
                <c:ptCount val="1"/>
                <c:pt idx="0">
                  <c:v>0</c:v>
                </c:pt>
              </c:numCache>
            </c:numRef>
          </c:val>
          <c:extLst>
            <c:ext xmlns:c16="http://schemas.microsoft.com/office/drawing/2014/chart" uri="{C3380CC4-5D6E-409C-BE32-E72D297353CC}">
              <c16:uniqueId val="{00000001-DBD3-4D04-8C7B-54D0FFCFA37D}"/>
            </c:ext>
          </c:extLst>
        </c:ser>
        <c:ser>
          <c:idx val="0"/>
          <c:order val="2"/>
          <c:tx>
            <c:strRef>
              <c:f>'Financial Scorecard'!$T$31</c:f>
              <c:strCache>
                <c:ptCount val="1"/>
                <c:pt idx="0">
                  <c:v>Slider Size</c:v>
                </c:pt>
              </c:strCache>
            </c:strRef>
          </c:tx>
          <c:spPr>
            <a:solidFill>
              <a:schemeClr val="bg1">
                <a:lumMod val="85000"/>
              </a:schemeClr>
            </a:solidFill>
            <a:ln>
              <a:solidFill>
                <a:schemeClr val="tx1"/>
              </a:solidFill>
            </a:ln>
            <a:effectLst/>
          </c:spPr>
          <c:invertIfNegative val="0"/>
          <c:dLbls>
            <c:dLbl>
              <c:idx val="0"/>
              <c:layout>
                <c:manualLayout>
                  <c:x val="0"/>
                  <c:y val="0.28892663700322102"/>
                </c:manualLayout>
              </c:layout>
              <c:tx>
                <c:rich>
                  <a:bodyPr/>
                  <a:lstStyle/>
                  <a:p>
                    <a:fld id="{CA6FA06F-D3F9-4074-B433-41FD3F4B1CFF}" type="CELLREF">
                      <a:rPr lang="en-US"/>
                      <a:pPr/>
                      <a:t>[CELLREF]</a:t>
                    </a:fld>
                    <a:endParaRPr lang="en-US"/>
                  </a:p>
                </c:rich>
              </c:tx>
              <c:showLegendKey val="0"/>
              <c:showVal val="1"/>
              <c:showCatName val="0"/>
              <c:showSerName val="0"/>
              <c:showPercent val="0"/>
              <c:showBubbleSize val="0"/>
              <c:extLst xmlns:c16="http://schemas.microsoft.com/office/drawing/2014/chart" xmlns:c15="http://schemas.microsoft.com/office/drawing/2012/chart">
                <c:ext xmlns:c15="http://schemas.microsoft.com/office/drawing/2012/chart" uri="{CE6537A1-D6FC-4f65-9D91-7224C49458BB}">
                  <c15:dlblFieldTable>
                    <c15:dlblFTEntry>
                      <c15:txfldGUID>{CA6FA06F-D3F9-4074-B433-41FD3F4B1CFF}</c15:txfldGUID>
                      <c15:f>'Financial Scorecard'!$G$32</c15:f>
                      <c15:dlblFieldTableCache>
                        <c:ptCount val="1"/>
                        <c:pt idx="0">
                          <c:v>0.0%</c:v>
                        </c:pt>
                      </c15:dlblFieldTableCache>
                    </c15:dlblFTEntry>
                  </c15:dlblFieldTable>
                  <c15:showDataLabelsRange val="0"/>
                </c:ext>
                <c:ext xmlns:c16="http://schemas.microsoft.com/office/drawing/2014/chart" uri="{C3380CC4-5D6E-409C-BE32-E72D297353CC}">
                  <c16:uniqueId val="{00000002-DBD3-4D04-8C7B-54D0FFCFA37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'Financial Scorecard'!$P$32:$P$36</c15:sqref>
                  </c15:fullRef>
                </c:ext>
              </c:extLst>
              <c:f>'Financial Scorecard'!$P$32</c:f>
              <c:strCache>
                <c:ptCount val="1"/>
                <c:pt idx="0">
                  <c:v>Asset-Turnover Ratio</c:v>
                </c:pt>
              </c:strCache>
            </c:strRef>
          </c:cat>
          <c:val>
            <c:numRef>
              <c:extLst>
                <c:ext xmlns:c15="http://schemas.microsoft.com/office/drawing/2012/chart" uri="{02D57815-91ED-43cb-92C2-25804820EDAC}">
                  <c15:fullRef>
                    <c15:sqref>'Financial Scorecard'!$T$32:$T$36</c15:sqref>
                  </c15:fullRef>
                </c:ext>
              </c:extLst>
              <c:f>'Financial Scorecard'!$T$32</c:f>
              <c:numCache>
                <c:formatCode>General</c:formatCode>
                <c:ptCount val="1"/>
                <c:pt idx="0">
                  <c:v>0.27</c:v>
                </c:pt>
              </c:numCache>
            </c:numRef>
          </c:val>
          <c:extLst>
            <c:ext xmlns:c15="http://schemas.microsoft.com/office/drawing/2012/chart" uri="{02D57815-91ED-43cb-92C2-25804820EDAC}">
              <c15:categoryFilterExceptions>
                <c15:categoryFilterException>
                  <c15:sqref>'Financial Scorecard'!$T$33</c15:sqref>
                  <c15:dLbl>
                    <c:idx val="0"/>
                    <c:layout>
                      <c:manualLayout>
                        <c:x val="6.2308536171331794E-3"/>
                        <c:y val="0.31300369876751988"/>
                      </c:manualLayout>
                    </c:layout>
                    <c:tx>
                      <c:strRef>
                        <c:f>'Financial Scorecard'!$G$24</c:f>
                        <c:strCache>
                          <c:ptCount val="1"/>
                          <c:pt idx="0">
                            <c:v>0.0%</c:v>
                          </c:pt>
                        </c:strCache>
                      </c:strRef>
                    </c:tx>
                    <c:showLegendKey val="0"/>
                    <c:showVal val="1"/>
                    <c:showCatName val="0"/>
                    <c:showSerName val="0"/>
                    <c:showPercent val="0"/>
                    <c:showBubbleSize val="0"/>
                    <c:extLst>
                      <c:ext uri="{CE6537A1-D6FC-4f65-9D91-7224C49458BB}">
                        <c15:dlblFieldTable>
                          <c15:dlblFTEntry>
                            <c15:txfldGUID>{F33F6B22-058D-4A08-A177-246D6A9EC8B4}</c15:txfldGUID>
                            <c15:f>'Financial Scorecard'!$G$24</c15:f>
                            <c15:dlblFieldTableCache>
                              <c:ptCount val="1"/>
                              <c:pt idx="0">
                                <c:v>0.0%</c:v>
                              </c:pt>
                            </c15:dlblFieldTableCache>
                          </c15:dlblFTEntry>
                        </c15:dlblFieldTable>
                        <c15:showDataLabelsRange val="0"/>
                      </c:ext>
                      <c:ext xmlns:c16="http://schemas.microsoft.com/office/drawing/2014/chart" uri="{C3380CC4-5D6E-409C-BE32-E72D297353CC}">
                        <c16:uniqueId val="{00000000-EC19-46C7-B27C-F27418ABBCE7}"/>
                      </c:ext>
                    </c:extLst>
                  </c15:dLbl>
                </c15:categoryFilterException>
                <c15:categoryFilterException>
                  <c15:sqref>'Financial Scorecard'!$T$34</c15:sqref>
                  <c15:dLbl>
                    <c:idx val="0"/>
                    <c:layout>
                      <c:manualLayout>
                        <c:x val="0"/>
                        <c:y val="0.30555555555555558"/>
                      </c:manualLayout>
                    </c:layout>
                    <c:tx>
                      <c:rich>
                        <a:bodyPr/>
                        <a:lstStyle/>
                        <a:p>
                          <a:fld id="{AC361A47-63B0-4BA1-A55D-E6B6BC0F7D0F}" type="CELLREF">
                            <a:rPr lang="en-US"/>
                            <a:pPr/>
                            <a:t>[CELLREF]</a:t>
                          </a:fld>
                          <a:endParaRPr lang="en-US"/>
                        </a:p>
                      </c:rich>
                    </c:tx>
                    <c:showLegendKey val="0"/>
                    <c:showVal val="1"/>
                    <c:showCatName val="0"/>
                    <c:showSerName val="0"/>
                    <c:showPercent val="0"/>
                    <c:showBubbleSize val="0"/>
                    <c:extLst>
                      <c:ext uri="{CE6537A1-D6FC-4f65-9D91-7224C49458BB}">
                        <c15:dlblFieldTable>
                          <c15:dlblFTEntry>
                            <c15:txfldGUID>{AC361A47-63B0-4BA1-A55D-E6B6BC0F7D0F}</c15:txfldGUID>
                            <c15:f>'Financial Scorecard'!$G$26</c15:f>
                            <c15:dlblFieldTableCache>
                              <c:ptCount val="1"/>
                              <c:pt idx="0">
                                <c:v>0.0%</c:v>
                              </c:pt>
                            </c15:dlblFieldTableCache>
                          </c15:dlblFTEntry>
                        </c15:dlblFieldTable>
                        <c15:showDataLabelsRange val="0"/>
                      </c:ext>
                      <c:ext xmlns:c16="http://schemas.microsoft.com/office/drawing/2014/chart" uri="{C3380CC4-5D6E-409C-BE32-E72D297353CC}">
                        <c16:uniqueId val="{00000001-EC19-46C7-B27C-F27418ABBCE7}"/>
                      </c:ext>
                    </c:extLst>
                  </c15:dLbl>
                </c15:categoryFilterException>
                <c15:categoryFilterException>
                  <c15:sqref>'Financial Scorecard'!$T$35</c15:sqref>
                  <c15:dLbl>
                    <c:idx val="0"/>
                    <c:layout>
                      <c:manualLayout>
                        <c:x val="0"/>
                        <c:y val="0.27777777777777779"/>
                      </c:manualLayout>
                    </c:layout>
                    <c:tx>
                      <c:rich>
                        <a:bodyPr/>
                        <a:lstStyle/>
                        <a:p>
                          <a:fld id="{7021C411-9FDD-4BD3-89DB-812EB74C1A93}" type="CELLREF">
                            <a:rPr lang="en-US"/>
                            <a:pPr/>
                            <a:t>[CELLREF]</a:t>
                          </a:fld>
                          <a:endParaRPr lang="en-US"/>
                        </a:p>
                      </c:rich>
                    </c:tx>
                    <c:showLegendKey val="0"/>
                    <c:showVal val="1"/>
                    <c:showCatName val="0"/>
                    <c:showSerName val="0"/>
                    <c:showPercent val="0"/>
                    <c:showBubbleSize val="0"/>
                    <c:extLst>
                      <c:ext uri="{CE6537A1-D6FC-4f65-9D91-7224C49458BB}">
                        <c15:dlblFieldTable>
                          <c15:dlblFTEntry>
                            <c15:txfldGUID>{7021C411-9FDD-4BD3-89DB-812EB74C1A93}</c15:txfldGUID>
                            <c15:f>'Financial Scorecard'!$G$26</c15:f>
                            <c15:dlblFieldTableCache>
                              <c:ptCount val="1"/>
                              <c:pt idx="0">
                                <c:v>0.0%</c:v>
                              </c:pt>
                            </c15:dlblFieldTableCache>
                          </c15:dlblFTEntry>
                        </c15:dlblFieldTable>
                        <c15:showDataLabelsRange val="0"/>
                      </c:ext>
                      <c:ext xmlns:c16="http://schemas.microsoft.com/office/drawing/2014/chart" uri="{C3380CC4-5D6E-409C-BE32-E72D297353CC}">
                        <c16:uniqueId val="{00000002-EC19-46C7-B27C-F27418ABBCE7}"/>
                      </c:ext>
                    </c:extLst>
                  </c15:dLbl>
                </c15:categoryFilterException>
              </c15:categoryFilterExceptions>
            </c:ext>
            <c:ext xmlns:c16="http://schemas.microsoft.com/office/drawing/2014/chart" uri="{C3380CC4-5D6E-409C-BE32-E72D297353CC}">
              <c16:uniqueId val="{00000006-DBD3-4D04-8C7B-54D0FFCFA37D}"/>
            </c:ext>
          </c:extLst>
        </c:ser>
        <c:dLbls>
          <c:showLegendKey val="0"/>
          <c:showVal val="0"/>
          <c:showCatName val="0"/>
          <c:showSerName val="0"/>
          <c:showPercent val="0"/>
          <c:showBubbleSize val="0"/>
        </c:dLbls>
        <c:gapWidth val="50"/>
        <c:overlap val="100"/>
        <c:axId val="419031976"/>
        <c:axId val="522590560"/>
      </c:barChart>
      <c:catAx>
        <c:axId val="521008736"/>
        <c:scaling>
          <c:orientation val="maxMin"/>
        </c:scaling>
        <c:delete val="1"/>
        <c:axPos val="l"/>
        <c:majorGridlines>
          <c:spPr>
            <a:ln w="9525" cap="flat" cmpd="sng" algn="ctr">
              <a:noFill/>
              <a:round/>
            </a:ln>
            <a:effectLst/>
          </c:spPr>
        </c:majorGridlines>
        <c:numFmt formatCode="General" sourceLinked="1"/>
        <c:majorTickMark val="none"/>
        <c:minorTickMark val="none"/>
        <c:tickLblPos val="nextTo"/>
        <c:crossAx val="414620848"/>
        <c:crossesAt val="0"/>
        <c:auto val="1"/>
        <c:lblAlgn val="ctr"/>
        <c:lblOffset val="100"/>
        <c:noMultiLvlLbl val="0"/>
      </c:catAx>
      <c:valAx>
        <c:axId val="414620848"/>
        <c:scaling>
          <c:orientation val="minMax"/>
          <c:max val="10"/>
          <c:min val="0"/>
        </c:scaling>
        <c:delete val="1"/>
        <c:axPos val="t"/>
        <c:numFmt formatCode="General" sourceLinked="1"/>
        <c:majorTickMark val="out"/>
        <c:minorTickMark val="none"/>
        <c:tickLblPos val="nextTo"/>
        <c:crossAx val="521008736"/>
        <c:crosses val="autoZero"/>
        <c:crossBetween val="between"/>
      </c:valAx>
      <c:valAx>
        <c:axId val="522590560"/>
        <c:scaling>
          <c:orientation val="minMax"/>
          <c:max val="9"/>
          <c:min val="0"/>
        </c:scaling>
        <c:delete val="1"/>
        <c:axPos val="b"/>
        <c:numFmt formatCode="General" sourceLinked="1"/>
        <c:majorTickMark val="out"/>
        <c:minorTickMark val="none"/>
        <c:tickLblPos val="nextTo"/>
        <c:crossAx val="419031976"/>
        <c:crosses val="max"/>
        <c:crossBetween val="between"/>
      </c:valAx>
      <c:catAx>
        <c:axId val="419031976"/>
        <c:scaling>
          <c:orientation val="maxMin"/>
        </c:scaling>
        <c:delete val="1"/>
        <c:axPos val="l"/>
        <c:numFmt formatCode="General" sourceLinked="1"/>
        <c:majorTickMark val="out"/>
        <c:minorTickMark val="none"/>
        <c:tickLblPos val="nextTo"/>
        <c:crossAx val="522590560"/>
        <c:crossesAt val="0"/>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269694894232483E-2"/>
          <c:y val="0.26484767940728721"/>
          <c:w val="0.93146061021153503"/>
          <c:h val="0.47030464118542559"/>
        </c:manualLayout>
      </c:layout>
      <c:barChart>
        <c:barDir val="bar"/>
        <c:grouping val="stacked"/>
        <c:varyColors val="0"/>
        <c:ser>
          <c:idx val="1"/>
          <c:order val="0"/>
          <c:tx>
            <c:strRef>
              <c:f>'Financial Scorecard'!$R$31</c:f>
              <c:strCache>
                <c:ptCount val="1"/>
                <c:pt idx="0">
                  <c:v>Spectrum</c:v>
                </c:pt>
              </c:strCache>
            </c:strRef>
          </c:tx>
          <c:spPr>
            <a:gradFill flip="none" rotWithShape="1">
              <a:gsLst>
                <a:gs pos="67000">
                  <a:srgbClr val="00B050"/>
                </a:gs>
                <a:gs pos="33000">
                  <a:srgbClr val="FF0000"/>
                </a:gs>
                <a:gs pos="66000">
                  <a:srgbClr val="FFFF00"/>
                </a:gs>
                <a:gs pos="34000">
                  <a:srgbClr val="FFFF00"/>
                </a:gs>
              </a:gsLst>
              <a:lin ang="0" scaled="0"/>
              <a:tileRect/>
            </a:gradFill>
            <a:ln>
              <a:noFill/>
            </a:ln>
            <a:effectLst/>
          </c:spPr>
          <c:invertIfNegative val="0"/>
          <c:cat>
            <c:strRef>
              <c:extLst>
                <c:ext xmlns:c15="http://schemas.microsoft.com/office/drawing/2012/chart" uri="{02D57815-91ED-43cb-92C2-25804820EDAC}">
                  <c15:fullRef>
                    <c15:sqref>'Financial Scorecard'!$P$32:$P$36</c15:sqref>
                  </c15:fullRef>
                </c:ext>
              </c:extLst>
              <c:f>'Financial Scorecard'!$P$33</c:f>
              <c:strCache>
                <c:ptCount val="1"/>
                <c:pt idx="0">
                  <c:v>Operating Expense Ratio</c:v>
                </c:pt>
              </c:strCache>
            </c:strRef>
          </c:cat>
          <c:val>
            <c:numRef>
              <c:extLst>
                <c:ext xmlns:c15="http://schemas.microsoft.com/office/drawing/2012/chart" uri="{02D57815-91ED-43cb-92C2-25804820EDAC}">
                  <c15:fullRef>
                    <c15:sqref>'Financial Scorecard'!$R$32:$R$36</c15:sqref>
                  </c15:fullRef>
                </c:ext>
              </c:extLst>
              <c:f>'Financial Scorecard'!$R$33</c:f>
              <c:numCache>
                <c:formatCode>General</c:formatCode>
                <c:ptCount val="1"/>
                <c:pt idx="0">
                  <c:v>10</c:v>
                </c:pt>
              </c:numCache>
            </c:numRef>
          </c:val>
          <c:extLst>
            <c:ext xmlns:c16="http://schemas.microsoft.com/office/drawing/2014/chart" uri="{C3380CC4-5D6E-409C-BE32-E72D297353CC}">
              <c16:uniqueId val="{00000000-AAA8-450A-81CF-679F07D94CDE}"/>
            </c:ext>
          </c:extLst>
        </c:ser>
        <c:dLbls>
          <c:showLegendKey val="0"/>
          <c:showVal val="0"/>
          <c:showCatName val="0"/>
          <c:showSerName val="0"/>
          <c:showPercent val="0"/>
          <c:showBubbleSize val="0"/>
        </c:dLbls>
        <c:gapWidth val="150"/>
        <c:overlap val="100"/>
        <c:axId val="521008736"/>
        <c:axId val="414620848"/>
      </c:barChart>
      <c:barChart>
        <c:barDir val="bar"/>
        <c:grouping val="stacked"/>
        <c:varyColors val="0"/>
        <c:ser>
          <c:idx val="2"/>
          <c:order val="1"/>
          <c:tx>
            <c:strRef>
              <c:f>'Financial Scorecard'!$S$31</c:f>
              <c:strCache>
                <c:ptCount val="1"/>
                <c:pt idx="0">
                  <c:v>Slider Fill</c:v>
                </c:pt>
              </c:strCache>
            </c:strRef>
          </c:tx>
          <c:spPr>
            <a:noFill/>
            <a:ln>
              <a:noFill/>
            </a:ln>
            <a:effectLst/>
          </c:spPr>
          <c:invertIfNegative val="0"/>
          <c:cat>
            <c:strRef>
              <c:extLst>
                <c:ext xmlns:c15="http://schemas.microsoft.com/office/drawing/2012/chart" uri="{02D57815-91ED-43cb-92C2-25804820EDAC}">
                  <c15:fullRef>
                    <c15:sqref>'Financial Scorecard'!$P$32:$P$36</c15:sqref>
                  </c15:fullRef>
                </c:ext>
              </c:extLst>
              <c:f>'Financial Scorecard'!$P$33</c:f>
              <c:strCache>
                <c:ptCount val="1"/>
                <c:pt idx="0">
                  <c:v>Operating Expense Ratio</c:v>
                </c:pt>
              </c:strCache>
            </c:strRef>
          </c:cat>
          <c:val>
            <c:numRef>
              <c:extLst>
                <c:ext xmlns:c15="http://schemas.microsoft.com/office/drawing/2012/chart" uri="{02D57815-91ED-43cb-92C2-25804820EDAC}">
                  <c15:fullRef>
                    <c15:sqref>'Financial Scorecard'!$S$32:$S$36</c15:sqref>
                  </c15:fullRef>
                </c:ext>
              </c:extLst>
              <c:f>'Financial Scorecard'!$S$33</c:f>
              <c:numCache>
                <c:formatCode>General</c:formatCode>
                <c:ptCount val="1"/>
                <c:pt idx="0">
                  <c:v>9.8650000000000002</c:v>
                </c:pt>
              </c:numCache>
            </c:numRef>
          </c:val>
          <c:extLst>
            <c:ext xmlns:c16="http://schemas.microsoft.com/office/drawing/2014/chart" uri="{C3380CC4-5D6E-409C-BE32-E72D297353CC}">
              <c16:uniqueId val="{00000001-AAA8-450A-81CF-679F07D94CDE}"/>
            </c:ext>
          </c:extLst>
        </c:ser>
        <c:ser>
          <c:idx val="0"/>
          <c:order val="2"/>
          <c:tx>
            <c:strRef>
              <c:f>'Financial Scorecard'!$T$31</c:f>
              <c:strCache>
                <c:ptCount val="1"/>
                <c:pt idx="0">
                  <c:v>Slider Size</c:v>
                </c:pt>
              </c:strCache>
            </c:strRef>
          </c:tx>
          <c:spPr>
            <a:solidFill>
              <a:schemeClr val="bg1">
                <a:lumMod val="85000"/>
              </a:schemeClr>
            </a:solidFill>
            <a:ln>
              <a:solidFill>
                <a:schemeClr val="tx1"/>
              </a:solidFill>
            </a:ln>
            <a:effectLst/>
          </c:spPr>
          <c:invertIfNegative val="0"/>
          <c:dLbls>
            <c:dLbl>
              <c:idx val="0"/>
              <c:layout>
                <c:manualLayout>
                  <c:x val="6.2308536171331794E-3"/>
                  <c:y val="0.31300369876751988"/>
                </c:manualLayout>
              </c:layout>
              <c:tx>
                <c:strRef>
                  <c:f>'Financial Scorecard'!$G$33</c:f>
                  <c:strCache>
                    <c:ptCount val="1"/>
                    <c:pt idx="0">
                      <c:v>0.0%</c:v>
                    </c:pt>
                  </c:strCache>
                </c:strRef>
              </c:tx>
              <c:showLegendKey val="0"/>
              <c:showVal val="1"/>
              <c:showCatName val="0"/>
              <c:showSerName val="0"/>
              <c:showPercent val="0"/>
              <c:showBubbleSize val="0"/>
              <c:extLst xmlns:c15="http://schemas.microsoft.com/office/drawing/2012/chart">
                <c:ext xmlns:c15="http://schemas.microsoft.com/office/drawing/2012/chart" uri="{CE6537A1-D6FC-4f65-9D91-7224C49458BB}">
                  <c15:dlblFieldTable>
                    <c15:dlblFTEntry>
                      <c15:txfldGUID>{4A240836-CDC6-4C4C-B14E-0DA11D5284E0}</c15:txfldGUID>
                      <c15:f>'Financial Scorecard'!$G$33</c15:f>
                      <c15:dlblFieldTableCache>
                        <c:ptCount val="1"/>
                        <c:pt idx="0">
                          <c:v>0.0%</c:v>
                        </c:pt>
                      </c15:dlblFieldTableCache>
                    </c15:dlblFTEntry>
                  </c15:dlblFieldTable>
                  <c15:showDataLabelsRange val="0"/>
                </c:ext>
                <c:ext xmlns:c16="http://schemas.microsoft.com/office/drawing/2014/chart" uri="{C3380CC4-5D6E-409C-BE32-E72D297353CC}">
                  <c16:uniqueId val="{00000004-AAA8-450A-81CF-679F07D94CD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'Financial Scorecard'!$P$32:$P$36</c15:sqref>
                  </c15:fullRef>
                </c:ext>
              </c:extLst>
              <c:f>'Financial Scorecard'!$P$33</c:f>
              <c:strCache>
                <c:ptCount val="1"/>
                <c:pt idx="0">
                  <c:v>Operating Expense Ratio</c:v>
                </c:pt>
              </c:strCache>
            </c:strRef>
          </c:cat>
          <c:val>
            <c:numRef>
              <c:extLst>
                <c:ext xmlns:c15="http://schemas.microsoft.com/office/drawing/2012/chart" uri="{02D57815-91ED-43cb-92C2-25804820EDAC}">
                  <c15:fullRef>
                    <c15:sqref>'Financial Scorecard'!$T$32:$T$36</c15:sqref>
                  </c15:fullRef>
                </c:ext>
              </c:extLst>
              <c:f>'Financial Scorecard'!$T$33</c:f>
              <c:numCache>
                <c:formatCode>General</c:formatCode>
                <c:ptCount val="1"/>
                <c:pt idx="0">
                  <c:v>0.27</c:v>
                </c:pt>
              </c:numCache>
            </c:numRef>
          </c:val>
          <c:extLst>
            <c:ext xmlns:c15="http://schemas.microsoft.com/office/drawing/2012/chart" uri="{02D57815-91ED-43cb-92C2-25804820EDAC}">
              <c15:categoryFilterExceptions>
                <c15:categoryFilterException>
                  <c15:sqref>'Financial Scorecard'!$T$32</c15:sqref>
                  <c15:dLbl>
                    <c:idx val="-1"/>
                    <c:layout>
                      <c:manualLayout>
                        <c:x val="0"/>
                        <c:y val="0.28892663700322102"/>
                      </c:manualLayout>
                    </c:layout>
                    <c:tx>
                      <c:rich>
                        <a:bodyPr/>
                        <a:lstStyle/>
                        <a:p>
                          <a:fld id="{CA6FA06F-D3F9-4074-B433-41FD3F4B1CFF}" type="CELLREF">
                            <a:rPr lang="en-US"/>
                            <a:pPr/>
                            <a:t>[CELLREF]</a:t>
                          </a:fld>
                          <a:endParaRPr lang="en-US"/>
                        </a:p>
                      </c:rich>
                    </c:tx>
                    <c:showLegendKey val="0"/>
                    <c:showVal val="1"/>
                    <c:showCatName val="0"/>
                    <c:showSerName val="0"/>
                    <c:showPercent val="0"/>
                    <c:showBubbleSize val="0"/>
                    <c:extLst xmlns:c16="http://schemas.microsoft.com/office/drawing/2014/chart">
                      <c:ext uri="{CE6537A1-D6FC-4f65-9D91-7224C49458BB}">
                        <c15:dlblFieldTable>
                          <c15:dlblFTEntry>
                            <c15:txfldGUID>{CA6FA06F-D3F9-4074-B433-41FD3F4B1CFF}</c15:txfldGUID>
                            <c15:f>'Financial Scorecard'!$G$32</c15:f>
                            <c15:dlblFieldTableCache>
                              <c:ptCount val="1"/>
                              <c:pt idx="0">
                                <c:v>0.0%</c:v>
                              </c:pt>
                            </c15:dlblFieldTableCache>
                          </c15:dlblFTEntry>
                        </c15:dlblFieldTable>
                        <c15:showDataLabelsRange val="0"/>
                      </c:ext>
                      <c:ext xmlns:c16="http://schemas.microsoft.com/office/drawing/2014/chart" uri="{C3380CC4-5D6E-409C-BE32-E72D297353CC}">
                        <c16:uniqueId val="{00000000-24D1-4EB5-9AEB-376BC65B8C1A}"/>
                      </c:ext>
                    </c:extLst>
                  </c15:dLbl>
                </c15:categoryFilterException>
                <c15:categoryFilterException>
                  <c15:sqref>'Financial Scorecard'!$T$34</c15:sqref>
                  <c15:dLbl>
                    <c:idx val="0"/>
                    <c:layout>
                      <c:manualLayout>
                        <c:x val="0"/>
                        <c:y val="0.30555555555555558"/>
                      </c:manualLayout>
                    </c:layout>
                    <c:tx>
                      <c:rich>
                        <a:bodyPr/>
                        <a:lstStyle/>
                        <a:p>
                          <a:fld id="{AC361A47-63B0-4BA1-A55D-E6B6BC0F7D0F}" type="CELLREF">
                            <a:rPr lang="en-US"/>
                            <a:pPr/>
                            <a:t>[CELLREF]</a:t>
                          </a:fld>
                          <a:endParaRPr lang="en-US"/>
                        </a:p>
                      </c:rich>
                    </c:tx>
                    <c:showLegendKey val="0"/>
                    <c:showVal val="1"/>
                    <c:showCatName val="0"/>
                    <c:showSerName val="0"/>
                    <c:showPercent val="0"/>
                    <c:showBubbleSize val="0"/>
                    <c:extLst>
                      <c:ext uri="{CE6537A1-D6FC-4f65-9D91-7224C49458BB}">
                        <c15:dlblFieldTable>
                          <c15:dlblFTEntry>
                            <c15:txfldGUID>{AC361A47-63B0-4BA1-A55D-E6B6BC0F7D0F}</c15:txfldGUID>
                            <c15:f>'Financial Scorecard'!$G$26</c15:f>
                            <c15:dlblFieldTableCache>
                              <c:ptCount val="1"/>
                              <c:pt idx="0">
                                <c:v>0.0%</c:v>
                              </c:pt>
                            </c15:dlblFieldTableCache>
                          </c15:dlblFTEntry>
                        </c15:dlblFieldTable>
                        <c15:showDataLabelsRange val="0"/>
                      </c:ext>
                      <c:ext xmlns:c16="http://schemas.microsoft.com/office/drawing/2014/chart" uri="{C3380CC4-5D6E-409C-BE32-E72D297353CC}">
                        <c16:uniqueId val="{00000001-24D1-4EB5-9AEB-376BC65B8C1A}"/>
                      </c:ext>
                    </c:extLst>
                  </c15:dLbl>
                </c15:categoryFilterException>
                <c15:categoryFilterException>
                  <c15:sqref>'Financial Scorecard'!$T$35</c15:sqref>
                  <c15:dLbl>
                    <c:idx val="0"/>
                    <c:layout>
                      <c:manualLayout>
                        <c:x val="0"/>
                        <c:y val="0.27777777777777779"/>
                      </c:manualLayout>
                    </c:layout>
                    <c:tx>
                      <c:rich>
                        <a:bodyPr/>
                        <a:lstStyle/>
                        <a:p>
                          <a:fld id="{7021C411-9FDD-4BD3-89DB-812EB74C1A93}" type="CELLREF">
                            <a:rPr lang="en-US"/>
                            <a:pPr/>
                            <a:t>[CELLREF]</a:t>
                          </a:fld>
                          <a:endParaRPr lang="en-US"/>
                        </a:p>
                      </c:rich>
                    </c:tx>
                    <c:showLegendKey val="0"/>
                    <c:showVal val="1"/>
                    <c:showCatName val="0"/>
                    <c:showSerName val="0"/>
                    <c:showPercent val="0"/>
                    <c:showBubbleSize val="0"/>
                    <c:extLst>
                      <c:ext uri="{CE6537A1-D6FC-4f65-9D91-7224C49458BB}">
                        <c15:dlblFieldTable>
                          <c15:dlblFTEntry>
                            <c15:txfldGUID>{7021C411-9FDD-4BD3-89DB-812EB74C1A93}</c15:txfldGUID>
                            <c15:f>'Financial Scorecard'!$G$26</c15:f>
                            <c15:dlblFieldTableCache>
                              <c:ptCount val="1"/>
                              <c:pt idx="0">
                                <c:v>0.0%</c:v>
                              </c:pt>
                            </c15:dlblFieldTableCache>
                          </c15:dlblFTEntry>
                        </c15:dlblFieldTable>
                        <c15:showDataLabelsRange val="0"/>
                      </c:ext>
                      <c:ext xmlns:c16="http://schemas.microsoft.com/office/drawing/2014/chart" uri="{C3380CC4-5D6E-409C-BE32-E72D297353CC}">
                        <c16:uniqueId val="{00000002-24D1-4EB5-9AEB-376BC65B8C1A}"/>
                      </c:ext>
                    </c:extLst>
                  </c15:dLbl>
                </c15:categoryFilterException>
              </c15:categoryFilterExceptions>
            </c:ext>
            <c:ext xmlns:c16="http://schemas.microsoft.com/office/drawing/2014/chart" uri="{C3380CC4-5D6E-409C-BE32-E72D297353CC}">
              <c16:uniqueId val="{00000003-AAA8-450A-81CF-679F07D94CDE}"/>
            </c:ext>
          </c:extLst>
        </c:ser>
        <c:dLbls>
          <c:showLegendKey val="0"/>
          <c:showVal val="0"/>
          <c:showCatName val="0"/>
          <c:showSerName val="0"/>
          <c:showPercent val="0"/>
          <c:showBubbleSize val="0"/>
        </c:dLbls>
        <c:gapWidth val="50"/>
        <c:overlap val="100"/>
        <c:axId val="419031976"/>
        <c:axId val="522590560"/>
      </c:barChart>
      <c:catAx>
        <c:axId val="521008736"/>
        <c:scaling>
          <c:orientation val="maxMin"/>
        </c:scaling>
        <c:delete val="1"/>
        <c:axPos val="l"/>
        <c:majorGridlines>
          <c:spPr>
            <a:ln w="9525" cap="flat" cmpd="sng" algn="ctr">
              <a:noFill/>
              <a:round/>
            </a:ln>
            <a:effectLst/>
          </c:spPr>
        </c:majorGridlines>
        <c:numFmt formatCode="General" sourceLinked="1"/>
        <c:majorTickMark val="none"/>
        <c:minorTickMark val="none"/>
        <c:tickLblPos val="nextTo"/>
        <c:crossAx val="414620848"/>
        <c:crossesAt val="0"/>
        <c:auto val="1"/>
        <c:lblAlgn val="ctr"/>
        <c:lblOffset val="100"/>
        <c:noMultiLvlLbl val="0"/>
      </c:catAx>
      <c:valAx>
        <c:axId val="414620848"/>
        <c:scaling>
          <c:orientation val="minMax"/>
          <c:max val="10"/>
          <c:min val="0"/>
        </c:scaling>
        <c:delete val="1"/>
        <c:axPos val="t"/>
        <c:numFmt formatCode="General" sourceLinked="1"/>
        <c:majorTickMark val="out"/>
        <c:minorTickMark val="none"/>
        <c:tickLblPos val="nextTo"/>
        <c:crossAx val="521008736"/>
        <c:crosses val="autoZero"/>
        <c:crossBetween val="between"/>
      </c:valAx>
      <c:valAx>
        <c:axId val="522590560"/>
        <c:scaling>
          <c:orientation val="minMax"/>
          <c:max val="9"/>
          <c:min val="0"/>
        </c:scaling>
        <c:delete val="1"/>
        <c:axPos val="b"/>
        <c:numFmt formatCode="General" sourceLinked="1"/>
        <c:majorTickMark val="out"/>
        <c:minorTickMark val="none"/>
        <c:tickLblPos val="nextTo"/>
        <c:crossAx val="419031976"/>
        <c:crosses val="max"/>
        <c:crossBetween val="between"/>
      </c:valAx>
      <c:catAx>
        <c:axId val="419031976"/>
        <c:scaling>
          <c:orientation val="maxMin"/>
        </c:scaling>
        <c:delete val="1"/>
        <c:axPos val="l"/>
        <c:numFmt formatCode="General" sourceLinked="1"/>
        <c:majorTickMark val="out"/>
        <c:minorTickMark val="none"/>
        <c:tickLblPos val="nextTo"/>
        <c:crossAx val="522590560"/>
        <c:crossesAt val="0"/>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269694894232483E-2"/>
          <c:y val="0.26484767940728721"/>
          <c:w val="0.93146061021153503"/>
          <c:h val="0.47030464118542559"/>
        </c:manualLayout>
      </c:layout>
      <c:barChart>
        <c:barDir val="bar"/>
        <c:grouping val="stacked"/>
        <c:varyColors val="0"/>
        <c:ser>
          <c:idx val="1"/>
          <c:order val="0"/>
          <c:tx>
            <c:strRef>
              <c:f>'Financial Scorecard'!$R$31</c:f>
              <c:strCache>
                <c:ptCount val="1"/>
                <c:pt idx="0">
                  <c:v>Spectrum</c:v>
                </c:pt>
              </c:strCache>
            </c:strRef>
          </c:tx>
          <c:spPr>
            <a:gradFill flip="none" rotWithShape="1">
              <a:gsLst>
                <a:gs pos="67000">
                  <a:srgbClr val="00B050"/>
                </a:gs>
                <a:gs pos="33000">
                  <a:srgbClr val="FF0000"/>
                </a:gs>
                <a:gs pos="66000">
                  <a:srgbClr val="FFFF00"/>
                </a:gs>
                <a:gs pos="34000">
                  <a:srgbClr val="FFFF00"/>
                </a:gs>
              </a:gsLst>
              <a:lin ang="0" scaled="0"/>
              <a:tileRect/>
            </a:gradFill>
            <a:ln>
              <a:noFill/>
            </a:ln>
            <a:effectLst/>
          </c:spPr>
          <c:invertIfNegative val="0"/>
          <c:cat>
            <c:strRef>
              <c:extLst>
                <c:ext xmlns:c15="http://schemas.microsoft.com/office/drawing/2012/chart" uri="{02D57815-91ED-43cb-92C2-25804820EDAC}">
                  <c15:fullRef>
                    <c15:sqref>'Financial Scorecard'!$P$32:$P$36</c15:sqref>
                  </c15:fullRef>
                </c:ext>
              </c:extLst>
              <c:f>'Financial Scorecard'!$P$34</c:f>
              <c:strCache>
                <c:ptCount val="1"/>
                <c:pt idx="0">
                  <c:v>Interest Expense Ratio</c:v>
                </c:pt>
              </c:strCache>
            </c:strRef>
          </c:cat>
          <c:val>
            <c:numRef>
              <c:extLst>
                <c:ext xmlns:c15="http://schemas.microsoft.com/office/drawing/2012/chart" uri="{02D57815-91ED-43cb-92C2-25804820EDAC}">
                  <c15:fullRef>
                    <c15:sqref>'Financial Scorecard'!$R$32:$R$36</c15:sqref>
                  </c15:fullRef>
                </c:ext>
              </c:extLst>
              <c:f>'Financial Scorecard'!$R$34</c:f>
              <c:numCache>
                <c:formatCode>General</c:formatCode>
                <c:ptCount val="1"/>
                <c:pt idx="0">
                  <c:v>10</c:v>
                </c:pt>
              </c:numCache>
            </c:numRef>
          </c:val>
          <c:extLst>
            <c:ext xmlns:c16="http://schemas.microsoft.com/office/drawing/2014/chart" uri="{C3380CC4-5D6E-409C-BE32-E72D297353CC}">
              <c16:uniqueId val="{00000000-16F7-487B-B11E-967B5011CE8F}"/>
            </c:ext>
          </c:extLst>
        </c:ser>
        <c:dLbls>
          <c:showLegendKey val="0"/>
          <c:showVal val="0"/>
          <c:showCatName val="0"/>
          <c:showSerName val="0"/>
          <c:showPercent val="0"/>
          <c:showBubbleSize val="0"/>
        </c:dLbls>
        <c:gapWidth val="150"/>
        <c:overlap val="100"/>
        <c:axId val="521008736"/>
        <c:axId val="414620848"/>
      </c:barChart>
      <c:barChart>
        <c:barDir val="bar"/>
        <c:grouping val="stacked"/>
        <c:varyColors val="0"/>
        <c:ser>
          <c:idx val="2"/>
          <c:order val="1"/>
          <c:tx>
            <c:strRef>
              <c:f>'Financial Scorecard'!$S$31</c:f>
              <c:strCache>
                <c:ptCount val="1"/>
                <c:pt idx="0">
                  <c:v>Slider Fill</c:v>
                </c:pt>
              </c:strCache>
            </c:strRef>
          </c:tx>
          <c:spPr>
            <a:noFill/>
            <a:ln>
              <a:noFill/>
            </a:ln>
            <a:effectLst/>
          </c:spPr>
          <c:invertIfNegative val="0"/>
          <c:cat>
            <c:strRef>
              <c:extLst>
                <c:ext xmlns:c15="http://schemas.microsoft.com/office/drawing/2012/chart" uri="{02D57815-91ED-43cb-92C2-25804820EDAC}">
                  <c15:fullRef>
                    <c15:sqref>'Financial Scorecard'!$P$32:$P$36</c15:sqref>
                  </c15:fullRef>
                </c:ext>
              </c:extLst>
              <c:f>'Financial Scorecard'!$P$34</c:f>
              <c:strCache>
                <c:ptCount val="1"/>
                <c:pt idx="0">
                  <c:v>Interest Expense Ratio</c:v>
                </c:pt>
              </c:strCache>
            </c:strRef>
          </c:cat>
          <c:val>
            <c:numRef>
              <c:extLst>
                <c:ext xmlns:c15="http://schemas.microsoft.com/office/drawing/2012/chart" uri="{02D57815-91ED-43cb-92C2-25804820EDAC}">
                  <c15:fullRef>
                    <c15:sqref>'Financial Scorecard'!$S$32:$S$36</c15:sqref>
                  </c15:fullRef>
                </c:ext>
              </c:extLst>
              <c:f>'Financial Scorecard'!$S$34</c:f>
              <c:numCache>
                <c:formatCode>General</c:formatCode>
                <c:ptCount val="1"/>
                <c:pt idx="0">
                  <c:v>9.8650000000000002</c:v>
                </c:pt>
              </c:numCache>
            </c:numRef>
          </c:val>
          <c:extLst>
            <c:ext xmlns:c16="http://schemas.microsoft.com/office/drawing/2014/chart" uri="{C3380CC4-5D6E-409C-BE32-E72D297353CC}">
              <c16:uniqueId val="{00000001-16F7-487B-B11E-967B5011CE8F}"/>
            </c:ext>
          </c:extLst>
        </c:ser>
        <c:ser>
          <c:idx val="0"/>
          <c:order val="2"/>
          <c:tx>
            <c:strRef>
              <c:f>'Financial Scorecard'!$T$31</c:f>
              <c:strCache>
                <c:ptCount val="1"/>
                <c:pt idx="0">
                  <c:v>Slider Size</c:v>
                </c:pt>
              </c:strCache>
            </c:strRef>
          </c:tx>
          <c:spPr>
            <a:solidFill>
              <a:schemeClr val="bg1">
                <a:lumMod val="85000"/>
              </a:schemeClr>
            </a:solidFill>
            <a:ln>
              <a:solidFill>
                <a:schemeClr val="tx1"/>
              </a:solidFill>
            </a:ln>
            <a:effectLst/>
          </c:spPr>
          <c:invertIfNegative val="0"/>
          <c:dLbls>
            <c:dLbl>
              <c:idx val="0"/>
              <c:layout>
                <c:manualLayout>
                  <c:x val="0"/>
                  <c:y val="0.30555555555555558"/>
                </c:manualLayout>
              </c:layout>
              <c:tx>
                <c:rich>
                  <a:bodyPr/>
                  <a:lstStyle/>
                  <a:p>
                    <a:fld id="{BE49966E-63CF-4853-A587-FDB404C6F424}" type="CELLREF">
                      <a:rPr lang="en-US"/>
                      <a:pPr/>
                      <a:t>[CELLREF]</a:t>
                    </a:fld>
                    <a:endParaRPr lang="en-US"/>
                  </a:p>
                </c:rich>
              </c:tx>
              <c:showLegendKey val="0"/>
              <c:showVal val="1"/>
              <c:showCatName val="0"/>
              <c:showSerName val="0"/>
              <c:showPercent val="0"/>
              <c:showBubbleSize val="0"/>
              <c:extLst xmlns:c15="http://schemas.microsoft.com/office/drawing/2012/chart">
                <c:ext xmlns:c15="http://schemas.microsoft.com/office/drawing/2012/chart" uri="{CE6537A1-D6FC-4f65-9D91-7224C49458BB}">
                  <c15:dlblFieldTable>
                    <c15:dlblFTEntry>
                      <c15:txfldGUID>{BE49966E-63CF-4853-A587-FDB404C6F424}</c15:txfldGUID>
                      <c15:f>'Financial Scorecard'!$G$34</c15:f>
                      <c15:dlblFieldTableCache>
                        <c:ptCount val="1"/>
                        <c:pt idx="0">
                          <c:v>0.0%</c:v>
                        </c:pt>
                      </c15:dlblFieldTableCache>
                    </c15:dlblFTEntry>
                  </c15:dlblFieldTable>
                  <c15:showDataLabelsRange val="0"/>
                </c:ext>
                <c:ext xmlns:c16="http://schemas.microsoft.com/office/drawing/2014/chart" uri="{C3380CC4-5D6E-409C-BE32-E72D297353CC}">
                  <c16:uniqueId val="{00000005-16F7-487B-B11E-967B5011CE8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'Financial Scorecard'!$P$32:$P$36</c15:sqref>
                  </c15:fullRef>
                </c:ext>
              </c:extLst>
              <c:f>'Financial Scorecard'!$P$34</c:f>
              <c:strCache>
                <c:ptCount val="1"/>
                <c:pt idx="0">
                  <c:v>Interest Expense Ratio</c:v>
                </c:pt>
              </c:strCache>
            </c:strRef>
          </c:cat>
          <c:val>
            <c:numRef>
              <c:extLst>
                <c:ext xmlns:c15="http://schemas.microsoft.com/office/drawing/2012/chart" uri="{02D57815-91ED-43cb-92C2-25804820EDAC}">
                  <c15:fullRef>
                    <c15:sqref>'Financial Scorecard'!$T$32:$T$36</c15:sqref>
                  </c15:fullRef>
                </c:ext>
              </c:extLst>
              <c:f>'Financial Scorecard'!$T$34</c:f>
              <c:numCache>
                <c:formatCode>General</c:formatCode>
                <c:ptCount val="1"/>
                <c:pt idx="0">
                  <c:v>0.27</c:v>
                </c:pt>
              </c:numCache>
            </c:numRef>
          </c:val>
          <c:extLst>
            <c:ext xmlns:c15="http://schemas.microsoft.com/office/drawing/2012/chart" uri="{02D57815-91ED-43cb-92C2-25804820EDAC}">
              <c15:categoryFilterExceptions>
                <c15:categoryFilterException>
                  <c15:sqref>'Financial Scorecard'!$T$32</c15:sqref>
                  <c15:dLbl>
                    <c:idx val="-1"/>
                    <c:layout>
                      <c:manualLayout>
                        <c:x val="0"/>
                        <c:y val="0.28892663700322102"/>
                      </c:manualLayout>
                    </c:layout>
                    <c:tx>
                      <c:rich>
                        <a:bodyPr/>
                        <a:lstStyle/>
                        <a:p>
                          <a:fld id="{CA6FA06F-D3F9-4074-B433-41FD3F4B1CFF}" type="CELLREF">
                            <a:rPr lang="en-US"/>
                            <a:pPr/>
                            <a:t>[CELLREF]</a:t>
                          </a:fld>
                          <a:endParaRPr lang="en-US"/>
                        </a:p>
                      </c:rich>
                    </c:tx>
                    <c:showLegendKey val="0"/>
                    <c:showVal val="1"/>
                    <c:showCatName val="0"/>
                    <c:showSerName val="0"/>
                    <c:showPercent val="0"/>
                    <c:showBubbleSize val="0"/>
                    <c:extLst xmlns:c16="http://schemas.microsoft.com/office/drawing/2014/chart">
                      <c:ext uri="{CE6537A1-D6FC-4f65-9D91-7224C49458BB}">
                        <c15:dlblFieldTable>
                          <c15:dlblFTEntry>
                            <c15:txfldGUID>{CA6FA06F-D3F9-4074-B433-41FD3F4B1CFF}</c15:txfldGUID>
                            <c15:f>'Financial Scorecard'!$G$32</c15:f>
                            <c15:dlblFieldTableCache>
                              <c:ptCount val="1"/>
                              <c:pt idx="0">
                                <c:v>0.0%</c:v>
                              </c:pt>
                            </c15:dlblFieldTableCache>
                          </c15:dlblFTEntry>
                        </c15:dlblFieldTable>
                        <c15:showDataLabelsRange val="0"/>
                      </c:ext>
                      <c:ext xmlns:c16="http://schemas.microsoft.com/office/drawing/2014/chart" uri="{C3380CC4-5D6E-409C-BE32-E72D297353CC}">
                        <c16:uniqueId val="{00000000-856C-4569-82AC-ADAFBFF05B92}"/>
                      </c:ext>
                    </c:extLst>
                  </c15:dLbl>
                </c15:categoryFilterException>
                <c15:categoryFilterException>
                  <c15:sqref>'Financial Scorecard'!$T$33</c15:sqref>
                  <c15:dLbl>
                    <c:idx val="-1"/>
                    <c:layout>
                      <c:manualLayout>
                        <c:x val="6.2308536171331794E-3"/>
                        <c:y val="0.31300369876751988"/>
                      </c:manualLayout>
                    </c:layout>
                    <c:tx>
                      <c:strRef>
                        <c:f>'Financial Scorecard'!$G$33</c:f>
                        <c:strCache>
                          <c:ptCount val="1"/>
                          <c:pt idx="0">
                            <c:v>0.0%</c:v>
                          </c:pt>
                        </c:strCache>
                      </c:strRef>
                    </c:tx>
                    <c:showLegendKey val="0"/>
                    <c:showVal val="1"/>
                    <c:showCatName val="0"/>
                    <c:showSerName val="0"/>
                    <c:showPercent val="0"/>
                    <c:showBubbleSize val="0"/>
                    <c:extLst>
                      <c:ext uri="{CE6537A1-D6FC-4f65-9D91-7224C49458BB}">
                        <c15:dlblFieldTable>
                          <c15:dlblFTEntry>
                            <c15:txfldGUID>{7D108B06-81E2-438F-A2A3-72AE1A51AB55}</c15:txfldGUID>
                            <c15:f>'Financial Scorecard'!$G$33</c15:f>
                            <c15:dlblFieldTableCache>
                              <c:ptCount val="1"/>
                              <c:pt idx="0">
                                <c:v>0.0%</c:v>
                              </c:pt>
                            </c15:dlblFieldTableCache>
                          </c15:dlblFTEntry>
                        </c15:dlblFieldTable>
                        <c15:showDataLabelsRange val="0"/>
                      </c:ext>
                      <c:ext xmlns:c16="http://schemas.microsoft.com/office/drawing/2014/chart" uri="{C3380CC4-5D6E-409C-BE32-E72D297353CC}">
                        <c16:uniqueId val="{00000001-856C-4569-82AC-ADAFBFF05B92}"/>
                      </c:ext>
                    </c:extLst>
                  </c15:dLbl>
                </c15:categoryFilterException>
                <c15:categoryFilterException>
                  <c15:sqref>'Financial Scorecard'!$T$35</c15:sqref>
                  <c15:dLbl>
                    <c:idx val="0"/>
                    <c:layout>
                      <c:manualLayout>
                        <c:x val="0"/>
                        <c:y val="0.27777777777777779"/>
                      </c:manualLayout>
                    </c:layout>
                    <c:tx>
                      <c:rich>
                        <a:bodyPr/>
                        <a:lstStyle/>
                        <a:p>
                          <a:fld id="{7021C411-9FDD-4BD3-89DB-812EB74C1A93}" type="CELLREF">
                            <a:rPr lang="en-US"/>
                            <a:pPr/>
                            <a:t>[CELLREF]</a:t>
                          </a:fld>
                          <a:endParaRPr lang="en-US"/>
                        </a:p>
                      </c:rich>
                    </c:tx>
                    <c:showLegendKey val="0"/>
                    <c:showVal val="1"/>
                    <c:showCatName val="0"/>
                    <c:showSerName val="0"/>
                    <c:showPercent val="0"/>
                    <c:showBubbleSize val="0"/>
                    <c:extLst>
                      <c:ext uri="{CE6537A1-D6FC-4f65-9D91-7224C49458BB}">
                        <c15:dlblFieldTable>
                          <c15:dlblFTEntry>
                            <c15:txfldGUID>{7021C411-9FDD-4BD3-89DB-812EB74C1A93}</c15:txfldGUID>
                            <c15:f>'Financial Scorecard'!$G$26</c15:f>
                            <c15:dlblFieldTableCache>
                              <c:ptCount val="1"/>
                              <c:pt idx="0">
                                <c:v>0.0%</c:v>
                              </c:pt>
                            </c15:dlblFieldTableCache>
                          </c15:dlblFTEntry>
                        </c15:dlblFieldTable>
                        <c15:showDataLabelsRange val="0"/>
                      </c:ext>
                      <c:ext xmlns:c16="http://schemas.microsoft.com/office/drawing/2014/chart" uri="{C3380CC4-5D6E-409C-BE32-E72D297353CC}">
                        <c16:uniqueId val="{00000002-856C-4569-82AC-ADAFBFF05B92}"/>
                      </c:ext>
                    </c:extLst>
                  </c15:dLbl>
                </c15:categoryFilterException>
              </c15:categoryFilterExceptions>
            </c:ext>
            <c:ext xmlns:c16="http://schemas.microsoft.com/office/drawing/2014/chart" uri="{C3380CC4-5D6E-409C-BE32-E72D297353CC}">
              <c16:uniqueId val="{00000003-16F7-487B-B11E-967B5011CE8F}"/>
            </c:ext>
          </c:extLst>
        </c:ser>
        <c:dLbls>
          <c:showLegendKey val="0"/>
          <c:showVal val="0"/>
          <c:showCatName val="0"/>
          <c:showSerName val="0"/>
          <c:showPercent val="0"/>
          <c:showBubbleSize val="0"/>
        </c:dLbls>
        <c:gapWidth val="50"/>
        <c:overlap val="100"/>
        <c:axId val="419031976"/>
        <c:axId val="522590560"/>
      </c:barChart>
      <c:catAx>
        <c:axId val="521008736"/>
        <c:scaling>
          <c:orientation val="maxMin"/>
        </c:scaling>
        <c:delete val="1"/>
        <c:axPos val="l"/>
        <c:majorGridlines>
          <c:spPr>
            <a:ln w="9525" cap="flat" cmpd="sng" algn="ctr">
              <a:noFill/>
              <a:round/>
            </a:ln>
            <a:effectLst/>
          </c:spPr>
        </c:majorGridlines>
        <c:numFmt formatCode="General" sourceLinked="1"/>
        <c:majorTickMark val="none"/>
        <c:minorTickMark val="none"/>
        <c:tickLblPos val="nextTo"/>
        <c:crossAx val="414620848"/>
        <c:crossesAt val="0"/>
        <c:auto val="1"/>
        <c:lblAlgn val="ctr"/>
        <c:lblOffset val="100"/>
        <c:noMultiLvlLbl val="0"/>
      </c:catAx>
      <c:valAx>
        <c:axId val="414620848"/>
        <c:scaling>
          <c:orientation val="minMax"/>
          <c:max val="10"/>
          <c:min val="0"/>
        </c:scaling>
        <c:delete val="1"/>
        <c:axPos val="t"/>
        <c:numFmt formatCode="General" sourceLinked="1"/>
        <c:majorTickMark val="out"/>
        <c:minorTickMark val="none"/>
        <c:tickLblPos val="nextTo"/>
        <c:crossAx val="521008736"/>
        <c:crosses val="autoZero"/>
        <c:crossBetween val="between"/>
      </c:valAx>
      <c:valAx>
        <c:axId val="522590560"/>
        <c:scaling>
          <c:orientation val="minMax"/>
          <c:max val="9"/>
          <c:min val="0"/>
        </c:scaling>
        <c:delete val="1"/>
        <c:axPos val="b"/>
        <c:numFmt formatCode="General" sourceLinked="1"/>
        <c:majorTickMark val="out"/>
        <c:minorTickMark val="none"/>
        <c:tickLblPos val="nextTo"/>
        <c:crossAx val="419031976"/>
        <c:crosses val="max"/>
        <c:crossBetween val="between"/>
      </c:valAx>
      <c:catAx>
        <c:axId val="419031976"/>
        <c:scaling>
          <c:orientation val="maxMin"/>
        </c:scaling>
        <c:delete val="1"/>
        <c:axPos val="l"/>
        <c:numFmt formatCode="General" sourceLinked="1"/>
        <c:majorTickMark val="out"/>
        <c:minorTickMark val="none"/>
        <c:tickLblPos val="nextTo"/>
        <c:crossAx val="522590560"/>
        <c:crossesAt val="0"/>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269694894232483E-2"/>
          <c:y val="0.26484767940728721"/>
          <c:w val="0.93146061021153503"/>
          <c:h val="0.47030464118542559"/>
        </c:manualLayout>
      </c:layout>
      <c:barChart>
        <c:barDir val="bar"/>
        <c:grouping val="stacked"/>
        <c:varyColors val="0"/>
        <c:ser>
          <c:idx val="1"/>
          <c:order val="0"/>
          <c:tx>
            <c:strRef>
              <c:f>'Financial Scorecard'!$R$31</c:f>
              <c:strCache>
                <c:ptCount val="1"/>
                <c:pt idx="0">
                  <c:v>Spectrum</c:v>
                </c:pt>
              </c:strCache>
            </c:strRef>
          </c:tx>
          <c:spPr>
            <a:gradFill flip="none" rotWithShape="1">
              <a:gsLst>
                <a:gs pos="67000">
                  <a:srgbClr val="00B050"/>
                </a:gs>
                <a:gs pos="33000">
                  <a:srgbClr val="FF0000"/>
                </a:gs>
                <a:gs pos="66000">
                  <a:srgbClr val="FFFF00"/>
                </a:gs>
                <a:gs pos="34000">
                  <a:srgbClr val="FFFF00"/>
                </a:gs>
              </a:gsLst>
              <a:lin ang="0" scaled="0"/>
              <a:tileRect/>
            </a:gradFill>
            <a:ln>
              <a:noFill/>
            </a:ln>
            <a:effectLst/>
          </c:spPr>
          <c:invertIfNegative val="0"/>
          <c:cat>
            <c:strRef>
              <c:extLst>
                <c:ext xmlns:c15="http://schemas.microsoft.com/office/drawing/2012/chart" uri="{02D57815-91ED-43cb-92C2-25804820EDAC}">
                  <c15:fullRef>
                    <c15:sqref>'Financial Scorecard'!$P$32:$P$36</c15:sqref>
                  </c15:fullRef>
                </c:ext>
              </c:extLst>
              <c:f>'Financial Scorecard'!$P$35</c:f>
              <c:strCache>
                <c:ptCount val="1"/>
                <c:pt idx="0">
                  <c:v>Depreciation Expense Ratio</c:v>
                </c:pt>
              </c:strCache>
            </c:strRef>
          </c:cat>
          <c:val>
            <c:numRef>
              <c:extLst>
                <c:ext xmlns:c15="http://schemas.microsoft.com/office/drawing/2012/chart" uri="{02D57815-91ED-43cb-92C2-25804820EDAC}">
                  <c15:fullRef>
                    <c15:sqref>'Financial Scorecard'!$R$32:$R$36</c15:sqref>
                  </c15:fullRef>
                </c:ext>
              </c:extLst>
              <c:f>'Financial Scorecard'!$R$35</c:f>
              <c:numCache>
                <c:formatCode>General</c:formatCode>
                <c:ptCount val="1"/>
                <c:pt idx="0">
                  <c:v>10</c:v>
                </c:pt>
              </c:numCache>
            </c:numRef>
          </c:val>
          <c:extLst>
            <c:ext xmlns:c16="http://schemas.microsoft.com/office/drawing/2014/chart" uri="{C3380CC4-5D6E-409C-BE32-E72D297353CC}">
              <c16:uniqueId val="{00000000-F24A-4303-9238-EBC2F9DE5AE7}"/>
            </c:ext>
          </c:extLst>
        </c:ser>
        <c:dLbls>
          <c:showLegendKey val="0"/>
          <c:showVal val="0"/>
          <c:showCatName val="0"/>
          <c:showSerName val="0"/>
          <c:showPercent val="0"/>
          <c:showBubbleSize val="0"/>
        </c:dLbls>
        <c:gapWidth val="150"/>
        <c:overlap val="100"/>
        <c:axId val="521008736"/>
        <c:axId val="414620848"/>
      </c:barChart>
      <c:barChart>
        <c:barDir val="bar"/>
        <c:grouping val="stacked"/>
        <c:varyColors val="0"/>
        <c:ser>
          <c:idx val="2"/>
          <c:order val="1"/>
          <c:tx>
            <c:strRef>
              <c:f>'Financial Scorecard'!$S$31</c:f>
              <c:strCache>
                <c:ptCount val="1"/>
                <c:pt idx="0">
                  <c:v>Slider Fill</c:v>
                </c:pt>
              </c:strCache>
            </c:strRef>
          </c:tx>
          <c:spPr>
            <a:noFill/>
            <a:ln>
              <a:noFill/>
            </a:ln>
            <a:effectLst/>
          </c:spPr>
          <c:invertIfNegative val="0"/>
          <c:cat>
            <c:strRef>
              <c:extLst>
                <c:ext xmlns:c15="http://schemas.microsoft.com/office/drawing/2012/chart" uri="{02D57815-91ED-43cb-92C2-25804820EDAC}">
                  <c15:fullRef>
                    <c15:sqref>'Financial Scorecard'!$P$32:$P$36</c15:sqref>
                  </c15:fullRef>
                </c:ext>
              </c:extLst>
              <c:f>'Financial Scorecard'!$P$35</c:f>
              <c:strCache>
                <c:ptCount val="1"/>
                <c:pt idx="0">
                  <c:v>Depreciation Expense Ratio</c:v>
                </c:pt>
              </c:strCache>
            </c:strRef>
          </c:cat>
          <c:val>
            <c:numRef>
              <c:extLst>
                <c:ext xmlns:c15="http://schemas.microsoft.com/office/drawing/2012/chart" uri="{02D57815-91ED-43cb-92C2-25804820EDAC}">
                  <c15:fullRef>
                    <c15:sqref>'Financial Scorecard'!$S$32:$S$36</c15:sqref>
                  </c15:fullRef>
                </c:ext>
              </c:extLst>
              <c:f>'Financial Scorecard'!$S$35</c:f>
              <c:numCache>
                <c:formatCode>General</c:formatCode>
                <c:ptCount val="1"/>
                <c:pt idx="0">
                  <c:v>7.0078571428571435</c:v>
                </c:pt>
              </c:numCache>
            </c:numRef>
          </c:val>
          <c:extLst>
            <c:ext xmlns:c16="http://schemas.microsoft.com/office/drawing/2014/chart" uri="{C3380CC4-5D6E-409C-BE32-E72D297353CC}">
              <c16:uniqueId val="{00000001-F24A-4303-9238-EBC2F9DE5AE7}"/>
            </c:ext>
          </c:extLst>
        </c:ser>
        <c:ser>
          <c:idx val="0"/>
          <c:order val="2"/>
          <c:tx>
            <c:strRef>
              <c:f>'Financial Scorecard'!$T$31</c:f>
              <c:strCache>
                <c:ptCount val="1"/>
                <c:pt idx="0">
                  <c:v>Slider Size</c:v>
                </c:pt>
              </c:strCache>
            </c:strRef>
          </c:tx>
          <c:spPr>
            <a:solidFill>
              <a:schemeClr val="bg1">
                <a:lumMod val="85000"/>
              </a:schemeClr>
            </a:solidFill>
            <a:ln>
              <a:solidFill>
                <a:schemeClr val="tx1"/>
              </a:solidFill>
            </a:ln>
            <a:effectLst/>
          </c:spPr>
          <c:invertIfNegative val="0"/>
          <c:dLbls>
            <c:dLbl>
              <c:idx val="0"/>
              <c:layout>
                <c:manualLayout>
                  <c:x val="0"/>
                  <c:y val="0.27777777777777779"/>
                </c:manualLayout>
              </c:layout>
              <c:tx>
                <c:rich>
                  <a:bodyPr/>
                  <a:lstStyle/>
                  <a:p>
                    <a:fld id="{8ADC38CA-F0CE-4ECD-B2F2-FC94E35706F9}" type="CELLREF">
                      <a:rPr lang="en-US"/>
                      <a:pPr/>
                      <a:t>[CELLREF]</a:t>
                    </a:fld>
                    <a:endParaRPr lang="en-US"/>
                  </a:p>
                </c:rich>
              </c:tx>
              <c:showLegendKey val="0"/>
              <c:showVal val="1"/>
              <c:showCatName val="0"/>
              <c:showSerName val="0"/>
              <c:showPercent val="0"/>
              <c:showBubbleSize val="0"/>
              <c:extLst xmlns:c15="http://schemas.microsoft.com/office/drawing/2012/chart">
                <c:ext xmlns:c15="http://schemas.microsoft.com/office/drawing/2012/chart" uri="{CE6537A1-D6FC-4f65-9D91-7224C49458BB}">
                  <c15:dlblFieldTable>
                    <c15:dlblFTEntry>
                      <c15:txfldGUID>{8ADC38CA-F0CE-4ECD-B2F2-FC94E35706F9}</c15:txfldGUID>
                      <c15:f>'Financial Scorecard'!$G$35</c15:f>
                      <c15:dlblFieldTableCache>
                        <c:ptCount val="1"/>
                        <c:pt idx="0">
                          <c:v>0.0%</c:v>
                        </c:pt>
                      </c15:dlblFieldTableCache>
                    </c15:dlblFTEntry>
                  </c15:dlblFieldTable>
                  <c15:showDataLabelsRange val="0"/>
                </c:ext>
                <c:ext xmlns:c16="http://schemas.microsoft.com/office/drawing/2014/chart" uri="{C3380CC4-5D6E-409C-BE32-E72D297353CC}">
                  <c16:uniqueId val="{00000006-F24A-4303-9238-EBC2F9DE5AE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'Financial Scorecard'!$P$32:$P$36</c15:sqref>
                  </c15:fullRef>
                </c:ext>
              </c:extLst>
              <c:f>'Financial Scorecard'!$P$35</c:f>
              <c:strCache>
                <c:ptCount val="1"/>
                <c:pt idx="0">
                  <c:v>Depreciation Expense Ratio</c:v>
                </c:pt>
              </c:strCache>
            </c:strRef>
          </c:cat>
          <c:val>
            <c:numRef>
              <c:extLst>
                <c:ext xmlns:c15="http://schemas.microsoft.com/office/drawing/2012/chart" uri="{02D57815-91ED-43cb-92C2-25804820EDAC}">
                  <c15:fullRef>
                    <c15:sqref>'Financial Scorecard'!$T$32:$T$36</c15:sqref>
                  </c15:fullRef>
                </c:ext>
              </c:extLst>
              <c:f>'Financial Scorecard'!$T$35</c:f>
              <c:numCache>
                <c:formatCode>General</c:formatCode>
                <c:ptCount val="1"/>
                <c:pt idx="0">
                  <c:v>0.27</c:v>
                </c:pt>
              </c:numCache>
            </c:numRef>
          </c:val>
          <c:extLst>
            <c:ext xmlns:c15="http://schemas.microsoft.com/office/drawing/2012/chart" uri="{02D57815-91ED-43cb-92C2-25804820EDAC}">
              <c15:categoryFilterExceptions>
                <c15:categoryFilterException>
                  <c15:sqref>'Financial Scorecard'!$T$32</c15:sqref>
                  <c15:dLbl>
                    <c:idx val="-1"/>
                    <c:layout>
                      <c:manualLayout>
                        <c:x val="0"/>
                        <c:y val="0.28892663700322102"/>
                      </c:manualLayout>
                    </c:layout>
                    <c:tx>
                      <c:rich>
                        <a:bodyPr/>
                        <a:lstStyle/>
                        <a:p>
                          <a:fld id="{CA6FA06F-D3F9-4074-B433-41FD3F4B1CFF}" type="CELLREF">
                            <a:rPr lang="en-US"/>
                            <a:pPr/>
                            <a:t>[CELLREF]</a:t>
                          </a:fld>
                          <a:endParaRPr lang="en-US"/>
                        </a:p>
                      </c:rich>
                    </c:tx>
                    <c:showLegendKey val="0"/>
                    <c:showVal val="1"/>
                    <c:showCatName val="0"/>
                    <c:showSerName val="0"/>
                    <c:showPercent val="0"/>
                    <c:showBubbleSize val="0"/>
                    <c:extLst xmlns:c16="http://schemas.microsoft.com/office/drawing/2014/chart">
                      <c:ext uri="{CE6537A1-D6FC-4f65-9D91-7224C49458BB}">
                        <c15:dlblFieldTable>
                          <c15:dlblFTEntry>
                            <c15:txfldGUID>{CA6FA06F-D3F9-4074-B433-41FD3F4B1CFF}</c15:txfldGUID>
                            <c15:f>'Financial Scorecard'!$G$32</c15:f>
                            <c15:dlblFieldTableCache>
                              <c:ptCount val="1"/>
                              <c:pt idx="0">
                                <c:v>0.0%</c:v>
                              </c:pt>
                            </c15:dlblFieldTableCache>
                          </c15:dlblFTEntry>
                        </c15:dlblFieldTable>
                        <c15:showDataLabelsRange val="0"/>
                      </c:ext>
                      <c:ext xmlns:c16="http://schemas.microsoft.com/office/drawing/2014/chart" uri="{C3380CC4-5D6E-409C-BE32-E72D297353CC}">
                        <c16:uniqueId val="{00000000-5091-4609-A30F-9239B66F8F87}"/>
                      </c:ext>
                    </c:extLst>
                  </c15:dLbl>
                </c15:categoryFilterException>
                <c15:categoryFilterException>
                  <c15:sqref>'Financial Scorecard'!$T$33</c15:sqref>
                  <c15:dLbl>
                    <c:idx val="-1"/>
                    <c:layout>
                      <c:manualLayout>
                        <c:x val="6.2308536171331794E-3"/>
                        <c:y val="0.31300369876751988"/>
                      </c:manualLayout>
                    </c:layout>
                    <c:tx>
                      <c:strRef>
                        <c:f>'Financial Scorecard'!$G$33</c:f>
                        <c:strCache>
                          <c:ptCount val="1"/>
                          <c:pt idx="0">
                            <c:v>0.0%</c:v>
                          </c:pt>
                        </c:strCache>
                      </c:strRef>
                    </c:tx>
                    <c:showLegendKey val="0"/>
                    <c:showVal val="1"/>
                    <c:showCatName val="0"/>
                    <c:showSerName val="0"/>
                    <c:showPercent val="0"/>
                    <c:showBubbleSize val="0"/>
                    <c:extLst>
                      <c:ext uri="{CE6537A1-D6FC-4f65-9D91-7224C49458BB}">
                        <c15:dlblFieldTable>
                          <c15:dlblFTEntry>
                            <c15:txfldGUID>{FC193E52-62B7-4378-9868-690F9C25DE66}</c15:txfldGUID>
                            <c15:f>'Financial Scorecard'!$G$33</c15:f>
                            <c15:dlblFieldTableCache>
                              <c:ptCount val="1"/>
                              <c:pt idx="0">
                                <c:v>0.0%</c:v>
                              </c:pt>
                            </c15:dlblFieldTableCache>
                          </c15:dlblFTEntry>
                        </c15:dlblFieldTable>
                        <c15:showDataLabelsRange val="0"/>
                      </c:ext>
                      <c:ext xmlns:c16="http://schemas.microsoft.com/office/drawing/2014/chart" uri="{C3380CC4-5D6E-409C-BE32-E72D297353CC}">
                        <c16:uniqueId val="{00000001-5091-4609-A30F-9239B66F8F87}"/>
                      </c:ext>
                    </c:extLst>
                  </c15:dLbl>
                </c15:categoryFilterException>
                <c15:categoryFilterException>
                  <c15:sqref>'Financial Scorecard'!$T$34</c15:sqref>
                  <c15:dLbl>
                    <c:idx val="-1"/>
                    <c:layout>
                      <c:manualLayout>
                        <c:x val="0"/>
                        <c:y val="0.30555555555555558"/>
                      </c:manualLayout>
                    </c:layout>
                    <c:tx>
                      <c:rich>
                        <a:bodyPr/>
                        <a:lstStyle/>
                        <a:p>
                          <a:fld id="{BE49966E-63CF-4853-A587-FDB404C6F424}" type="CELLREF">
                            <a:rPr lang="en-US"/>
                            <a:pPr/>
                            <a:t>[CELLREF]</a:t>
                          </a:fld>
                          <a:endParaRPr lang="en-US"/>
                        </a:p>
                      </c:rich>
                    </c:tx>
                    <c:showLegendKey val="0"/>
                    <c:showVal val="1"/>
                    <c:showCatName val="0"/>
                    <c:showSerName val="0"/>
                    <c:showPercent val="0"/>
                    <c:showBubbleSize val="0"/>
                    <c:extLst>
                      <c:ext uri="{CE6537A1-D6FC-4f65-9D91-7224C49458BB}">
                        <c15:dlblFieldTable>
                          <c15:dlblFTEntry>
                            <c15:txfldGUID>{BE49966E-63CF-4853-A587-FDB404C6F424}</c15:txfldGUID>
                            <c15:f>'Financial Scorecard'!$G$34</c15:f>
                            <c15:dlblFieldTableCache>
                              <c:ptCount val="1"/>
                              <c:pt idx="0">
                                <c:v>0.0%</c:v>
                              </c:pt>
                            </c15:dlblFieldTableCache>
                          </c15:dlblFTEntry>
                        </c15:dlblFieldTable>
                        <c15:showDataLabelsRange val="0"/>
                      </c:ext>
                      <c:ext xmlns:c16="http://schemas.microsoft.com/office/drawing/2014/chart" uri="{C3380CC4-5D6E-409C-BE32-E72D297353CC}">
                        <c16:uniqueId val="{00000002-5091-4609-A30F-9239B66F8F87}"/>
                      </c:ext>
                    </c:extLst>
                  </c15:dLbl>
                </c15:categoryFilterException>
              </c15:categoryFilterExceptions>
            </c:ext>
            <c:ext xmlns:c16="http://schemas.microsoft.com/office/drawing/2014/chart" uri="{C3380CC4-5D6E-409C-BE32-E72D297353CC}">
              <c16:uniqueId val="{00000003-F24A-4303-9238-EBC2F9DE5AE7}"/>
            </c:ext>
          </c:extLst>
        </c:ser>
        <c:dLbls>
          <c:showLegendKey val="0"/>
          <c:showVal val="0"/>
          <c:showCatName val="0"/>
          <c:showSerName val="0"/>
          <c:showPercent val="0"/>
          <c:showBubbleSize val="0"/>
        </c:dLbls>
        <c:gapWidth val="50"/>
        <c:overlap val="100"/>
        <c:axId val="419031976"/>
        <c:axId val="522590560"/>
      </c:barChart>
      <c:catAx>
        <c:axId val="521008736"/>
        <c:scaling>
          <c:orientation val="maxMin"/>
        </c:scaling>
        <c:delete val="1"/>
        <c:axPos val="l"/>
        <c:majorGridlines>
          <c:spPr>
            <a:ln w="9525" cap="flat" cmpd="sng" algn="ctr">
              <a:noFill/>
              <a:round/>
            </a:ln>
            <a:effectLst/>
          </c:spPr>
        </c:majorGridlines>
        <c:numFmt formatCode="General" sourceLinked="1"/>
        <c:majorTickMark val="none"/>
        <c:minorTickMark val="none"/>
        <c:tickLblPos val="nextTo"/>
        <c:crossAx val="414620848"/>
        <c:crossesAt val="0"/>
        <c:auto val="1"/>
        <c:lblAlgn val="ctr"/>
        <c:lblOffset val="100"/>
        <c:noMultiLvlLbl val="0"/>
      </c:catAx>
      <c:valAx>
        <c:axId val="414620848"/>
        <c:scaling>
          <c:orientation val="minMax"/>
          <c:max val="10"/>
          <c:min val="0"/>
        </c:scaling>
        <c:delete val="1"/>
        <c:axPos val="t"/>
        <c:numFmt formatCode="General" sourceLinked="1"/>
        <c:majorTickMark val="out"/>
        <c:minorTickMark val="none"/>
        <c:tickLblPos val="nextTo"/>
        <c:crossAx val="521008736"/>
        <c:crosses val="autoZero"/>
        <c:crossBetween val="between"/>
      </c:valAx>
      <c:valAx>
        <c:axId val="522590560"/>
        <c:scaling>
          <c:orientation val="minMax"/>
          <c:max val="9"/>
          <c:min val="0"/>
        </c:scaling>
        <c:delete val="1"/>
        <c:axPos val="b"/>
        <c:numFmt formatCode="General" sourceLinked="1"/>
        <c:majorTickMark val="out"/>
        <c:minorTickMark val="none"/>
        <c:tickLblPos val="nextTo"/>
        <c:crossAx val="419031976"/>
        <c:crosses val="max"/>
        <c:crossBetween val="between"/>
      </c:valAx>
      <c:catAx>
        <c:axId val="419031976"/>
        <c:scaling>
          <c:orientation val="maxMin"/>
        </c:scaling>
        <c:delete val="1"/>
        <c:axPos val="l"/>
        <c:numFmt formatCode="General" sourceLinked="1"/>
        <c:majorTickMark val="out"/>
        <c:minorTickMark val="none"/>
        <c:tickLblPos val="nextTo"/>
        <c:crossAx val="522590560"/>
        <c:crossesAt val="0"/>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269694894232483E-2"/>
          <c:y val="0.26484767940728721"/>
          <c:w val="0.93146061021153503"/>
          <c:h val="0.47030464118542559"/>
        </c:manualLayout>
      </c:layout>
      <c:barChart>
        <c:barDir val="bar"/>
        <c:grouping val="stacked"/>
        <c:varyColors val="0"/>
        <c:ser>
          <c:idx val="1"/>
          <c:order val="0"/>
          <c:tx>
            <c:strRef>
              <c:f>'Financial Scorecard'!$R$31</c:f>
              <c:strCache>
                <c:ptCount val="1"/>
                <c:pt idx="0">
                  <c:v>Spectrum</c:v>
                </c:pt>
              </c:strCache>
            </c:strRef>
          </c:tx>
          <c:spPr>
            <a:gradFill flip="none" rotWithShape="1">
              <a:gsLst>
                <a:gs pos="67000">
                  <a:srgbClr val="00B050"/>
                </a:gs>
                <a:gs pos="33000">
                  <a:srgbClr val="FF0000"/>
                </a:gs>
                <a:gs pos="66000">
                  <a:srgbClr val="FFFF00"/>
                </a:gs>
                <a:gs pos="34000">
                  <a:srgbClr val="FFFF00"/>
                </a:gs>
              </a:gsLst>
              <a:lin ang="0" scaled="0"/>
              <a:tileRect/>
            </a:gradFill>
            <a:ln>
              <a:noFill/>
            </a:ln>
            <a:effectLst/>
          </c:spPr>
          <c:invertIfNegative val="0"/>
          <c:cat>
            <c:strRef>
              <c:extLst>
                <c:ext xmlns:c15="http://schemas.microsoft.com/office/drawing/2012/chart" uri="{02D57815-91ED-43cb-92C2-25804820EDAC}">
                  <c15:fullRef>
                    <c15:sqref>'Financial Scorecard'!$P$32:$P$36</c15:sqref>
                  </c15:fullRef>
                </c:ext>
              </c:extLst>
              <c:f>'Financial Scorecard'!$P$36</c:f>
              <c:strCache>
                <c:ptCount val="1"/>
                <c:pt idx="0">
                  <c:v>Net Income Ratio</c:v>
                </c:pt>
              </c:strCache>
            </c:strRef>
          </c:cat>
          <c:val>
            <c:numRef>
              <c:extLst>
                <c:ext xmlns:c15="http://schemas.microsoft.com/office/drawing/2012/chart" uri="{02D57815-91ED-43cb-92C2-25804820EDAC}">
                  <c15:fullRef>
                    <c15:sqref>'Financial Scorecard'!$R$32:$R$36</c15:sqref>
                  </c15:fullRef>
                </c:ext>
              </c:extLst>
              <c:f>'Financial Scorecard'!$R$36</c:f>
              <c:numCache>
                <c:formatCode>General</c:formatCode>
                <c:ptCount val="1"/>
                <c:pt idx="0">
                  <c:v>10</c:v>
                </c:pt>
              </c:numCache>
            </c:numRef>
          </c:val>
          <c:extLst>
            <c:ext xmlns:c16="http://schemas.microsoft.com/office/drawing/2014/chart" uri="{C3380CC4-5D6E-409C-BE32-E72D297353CC}">
              <c16:uniqueId val="{00000000-DCDE-4715-A2E6-0D2ACCE9FC48}"/>
            </c:ext>
          </c:extLst>
        </c:ser>
        <c:dLbls>
          <c:showLegendKey val="0"/>
          <c:showVal val="0"/>
          <c:showCatName val="0"/>
          <c:showSerName val="0"/>
          <c:showPercent val="0"/>
          <c:showBubbleSize val="0"/>
        </c:dLbls>
        <c:gapWidth val="150"/>
        <c:overlap val="100"/>
        <c:axId val="521008736"/>
        <c:axId val="414620848"/>
      </c:barChart>
      <c:barChart>
        <c:barDir val="bar"/>
        <c:grouping val="stacked"/>
        <c:varyColors val="0"/>
        <c:ser>
          <c:idx val="2"/>
          <c:order val="1"/>
          <c:tx>
            <c:strRef>
              <c:f>'Financial Scorecard'!$S$31</c:f>
              <c:strCache>
                <c:ptCount val="1"/>
                <c:pt idx="0">
                  <c:v>Slider Fill</c:v>
                </c:pt>
              </c:strCache>
            </c:strRef>
          </c:tx>
          <c:spPr>
            <a:noFill/>
            <a:ln>
              <a:noFill/>
            </a:ln>
            <a:effectLst/>
          </c:spPr>
          <c:invertIfNegative val="0"/>
          <c:cat>
            <c:strRef>
              <c:extLst>
                <c:ext xmlns:c15="http://schemas.microsoft.com/office/drawing/2012/chart" uri="{02D57815-91ED-43cb-92C2-25804820EDAC}">
                  <c15:fullRef>
                    <c15:sqref>'Financial Scorecard'!$P$32:$P$36</c15:sqref>
                  </c15:fullRef>
                </c:ext>
              </c:extLst>
              <c:f>'Financial Scorecard'!$P$36</c:f>
              <c:strCache>
                <c:ptCount val="1"/>
                <c:pt idx="0">
                  <c:v>Net Income Ratio</c:v>
                </c:pt>
              </c:strCache>
            </c:strRef>
          </c:cat>
          <c:val>
            <c:numRef>
              <c:extLst>
                <c:ext xmlns:c15="http://schemas.microsoft.com/office/drawing/2012/chart" uri="{02D57815-91ED-43cb-92C2-25804820EDAC}">
                  <c15:fullRef>
                    <c15:sqref>'Financial Scorecard'!$S$32:$S$36</c15:sqref>
                  </c15:fullRef>
                </c:ext>
              </c:extLst>
              <c:f>'Financial Scorecard'!$S$36</c:f>
              <c:numCache>
                <c:formatCode>General</c:formatCode>
                <c:ptCount val="1"/>
                <c:pt idx="0">
                  <c:v>0</c:v>
                </c:pt>
              </c:numCache>
            </c:numRef>
          </c:val>
          <c:extLst>
            <c:ext xmlns:c16="http://schemas.microsoft.com/office/drawing/2014/chart" uri="{C3380CC4-5D6E-409C-BE32-E72D297353CC}">
              <c16:uniqueId val="{00000001-DCDE-4715-A2E6-0D2ACCE9FC48}"/>
            </c:ext>
          </c:extLst>
        </c:ser>
        <c:ser>
          <c:idx val="0"/>
          <c:order val="2"/>
          <c:tx>
            <c:strRef>
              <c:f>'Financial Scorecard'!$T$31</c:f>
              <c:strCache>
                <c:ptCount val="1"/>
                <c:pt idx="0">
                  <c:v>Slider Size</c:v>
                </c:pt>
              </c:strCache>
            </c:strRef>
          </c:tx>
          <c:spPr>
            <a:solidFill>
              <a:schemeClr val="bg1">
                <a:lumMod val="85000"/>
              </a:schemeClr>
            </a:solidFill>
            <a:ln>
              <a:solidFill>
                <a:schemeClr val="tx1"/>
              </a:solidFill>
            </a:ln>
            <a:effectLst/>
          </c:spPr>
          <c:invertIfNegative val="0"/>
          <c:dLbls>
            <c:dLbl>
              <c:idx val="0"/>
              <c:layout>
                <c:manualLayout>
                  <c:x val="-5.7115498353943299E-17"/>
                  <c:y val="0.27777777777777779"/>
                </c:manualLayout>
              </c:layout>
              <c:tx>
                <c:rich>
                  <a:bodyPr/>
                  <a:lstStyle/>
                  <a:p>
                    <a:fld id="{308BB4DD-E32A-4F11-B4BF-26F8731BFCF3}" type="CELLREF">
                      <a:rPr lang="en-US"/>
                      <a:pPr/>
                      <a:t>[CELLREF]</a:t>
                    </a:fld>
                    <a:endParaRPr lang="en-US"/>
                  </a:p>
                </c:rich>
              </c:tx>
              <c:showLegendKey val="0"/>
              <c:showVal val="1"/>
              <c:showCatName val="0"/>
              <c:showSerName val="0"/>
              <c:showPercent val="0"/>
              <c:showBubbleSize val="0"/>
              <c:extLst>
                <c:ext xmlns:c15="http://schemas.microsoft.com/office/drawing/2012/chart" uri="{CE6537A1-D6FC-4f65-9D91-7224C49458BB}">
                  <c15:dlblFieldTable>
                    <c15:dlblFTEntry>
                      <c15:txfldGUID>{308BB4DD-E32A-4F11-B4BF-26F8731BFCF3}</c15:txfldGUID>
                      <c15:f>'Financial Scorecard'!$G$36</c15:f>
                      <c15:dlblFieldTableCache>
                        <c:ptCount val="1"/>
                        <c:pt idx="0">
                          <c:v>0.0%</c:v>
                        </c:pt>
                      </c15:dlblFieldTableCache>
                    </c15:dlblFTEntry>
                  </c15:dlblFieldTable>
                  <c15:showDataLabelsRange val="0"/>
                </c:ext>
                <c:ext xmlns:c16="http://schemas.microsoft.com/office/drawing/2014/chart" uri="{C3380CC4-5D6E-409C-BE32-E72D297353CC}">
                  <c16:uniqueId val="{00000007-DCDE-4715-A2E6-0D2ACCE9FC4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'Financial Scorecard'!$P$32:$P$36</c15:sqref>
                  </c15:fullRef>
                </c:ext>
              </c:extLst>
              <c:f>'Financial Scorecard'!$P$36</c:f>
              <c:strCache>
                <c:ptCount val="1"/>
                <c:pt idx="0">
                  <c:v>Net Income Ratio</c:v>
                </c:pt>
              </c:strCache>
            </c:strRef>
          </c:cat>
          <c:val>
            <c:numRef>
              <c:extLst>
                <c:ext xmlns:c15="http://schemas.microsoft.com/office/drawing/2012/chart" uri="{02D57815-91ED-43cb-92C2-25804820EDAC}">
                  <c15:fullRef>
                    <c15:sqref>'Financial Scorecard'!$T$32:$T$36</c15:sqref>
                  </c15:fullRef>
                </c:ext>
              </c:extLst>
              <c:f>'Financial Scorecard'!$T$36</c:f>
              <c:numCache>
                <c:formatCode>General</c:formatCode>
                <c:ptCount val="1"/>
                <c:pt idx="0">
                  <c:v>0.27</c:v>
                </c:pt>
              </c:numCache>
            </c:numRef>
          </c:val>
          <c:extLst>
            <c:ext xmlns:c15="http://schemas.microsoft.com/office/drawing/2012/chart" uri="{02D57815-91ED-43cb-92C2-25804820EDAC}">
              <c15:categoryFilterExceptions>
                <c15:categoryFilterException>
                  <c15:sqref>'Financial Scorecard'!$T$32</c15:sqref>
                  <c15:dLbl>
                    <c:idx val="-1"/>
                    <c:layout>
                      <c:manualLayout>
                        <c:x val="0"/>
                        <c:y val="0.28892663700322102"/>
                      </c:manualLayout>
                    </c:layout>
                    <c:tx>
                      <c:rich>
                        <a:bodyPr/>
                        <a:lstStyle/>
                        <a:p>
                          <a:fld id="{CA6FA06F-D3F9-4074-B433-41FD3F4B1CFF}" type="CELLREF">
                            <a:rPr lang="en-US"/>
                            <a:pPr/>
                            <a:t>[CELLREF]</a:t>
                          </a:fld>
                          <a:endParaRPr lang="en-US"/>
                        </a:p>
                      </c:rich>
                    </c:tx>
                    <c:showLegendKey val="0"/>
                    <c:showVal val="1"/>
                    <c:showCatName val="0"/>
                    <c:showSerName val="0"/>
                    <c:showPercent val="0"/>
                    <c:showBubbleSize val="0"/>
                    <c:extLst xmlns:c16="http://schemas.microsoft.com/office/drawing/2014/chart">
                      <c:ext uri="{CE6537A1-D6FC-4f65-9D91-7224C49458BB}">
                        <c15:dlblFieldTable>
                          <c15:dlblFTEntry>
                            <c15:txfldGUID>{CA6FA06F-D3F9-4074-B433-41FD3F4B1CFF}</c15:txfldGUID>
                            <c15:f>'Financial Scorecard'!$G$32</c15:f>
                            <c15:dlblFieldTableCache>
                              <c:ptCount val="1"/>
                              <c:pt idx="0">
                                <c:v>0.0%</c:v>
                              </c:pt>
                            </c15:dlblFieldTableCache>
                          </c15:dlblFTEntry>
                        </c15:dlblFieldTable>
                        <c15:showDataLabelsRange val="0"/>
                      </c:ext>
                      <c:ext xmlns:c16="http://schemas.microsoft.com/office/drawing/2014/chart" uri="{C3380CC4-5D6E-409C-BE32-E72D297353CC}">
                        <c16:uniqueId val="{00000000-911F-4BF3-A752-B5D68CD63A0D}"/>
                      </c:ext>
                    </c:extLst>
                  </c15:dLbl>
                </c15:categoryFilterException>
                <c15:categoryFilterException>
                  <c15:sqref>'Financial Scorecard'!$T$33</c15:sqref>
                  <c15:dLbl>
                    <c:idx val="-1"/>
                    <c:layout>
                      <c:manualLayout>
                        <c:x val="6.2308536171331794E-3"/>
                        <c:y val="0.31300369876751988"/>
                      </c:manualLayout>
                    </c:layout>
                    <c:tx>
                      <c:strRef>
                        <c:f>'Financial Scorecard'!$G$33</c:f>
                        <c:strCache>
                          <c:ptCount val="1"/>
                          <c:pt idx="0">
                            <c:v>0.0%</c:v>
                          </c:pt>
                        </c:strCache>
                      </c:strRef>
                    </c:tx>
                    <c:showLegendKey val="0"/>
                    <c:showVal val="1"/>
                    <c:showCatName val="0"/>
                    <c:showSerName val="0"/>
                    <c:showPercent val="0"/>
                    <c:showBubbleSize val="0"/>
                    <c:extLst>
                      <c:ext uri="{CE6537A1-D6FC-4f65-9D91-7224C49458BB}">
                        <c15:dlblFieldTable>
                          <c15:dlblFTEntry>
                            <c15:txfldGUID>{AFBBEBE9-D1ED-42D7-AADC-856687AF383E}</c15:txfldGUID>
                            <c15:f>'Financial Scorecard'!$G$33</c15:f>
                            <c15:dlblFieldTableCache>
                              <c:ptCount val="1"/>
                              <c:pt idx="0">
                                <c:v>0.0%</c:v>
                              </c:pt>
                            </c15:dlblFieldTableCache>
                          </c15:dlblFTEntry>
                        </c15:dlblFieldTable>
                        <c15:showDataLabelsRange val="0"/>
                      </c:ext>
                      <c:ext xmlns:c16="http://schemas.microsoft.com/office/drawing/2014/chart" uri="{C3380CC4-5D6E-409C-BE32-E72D297353CC}">
                        <c16:uniqueId val="{00000001-911F-4BF3-A752-B5D68CD63A0D}"/>
                      </c:ext>
                    </c:extLst>
                  </c15:dLbl>
                </c15:categoryFilterException>
                <c15:categoryFilterException>
                  <c15:sqref>'Financial Scorecard'!$T$34</c15:sqref>
                  <c15:dLbl>
                    <c:idx val="-1"/>
                    <c:layout>
                      <c:manualLayout>
                        <c:x val="0"/>
                        <c:y val="0.30555555555555558"/>
                      </c:manualLayout>
                    </c:layout>
                    <c:tx>
                      <c:rich>
                        <a:bodyPr/>
                        <a:lstStyle/>
                        <a:p>
                          <a:fld id="{AC361A47-63B0-4BA1-A55D-E6B6BC0F7D0F}" type="CELLREF">
                            <a:rPr lang="en-US"/>
                            <a:pPr/>
                            <a:t>[CELLREF]</a:t>
                          </a:fld>
                          <a:endParaRPr lang="en-US"/>
                        </a:p>
                      </c:rich>
                    </c:tx>
                    <c:showLegendKey val="0"/>
                    <c:showVal val="1"/>
                    <c:showCatName val="0"/>
                    <c:showSerName val="0"/>
                    <c:showPercent val="0"/>
                    <c:showBubbleSize val="0"/>
                    <c:extLst>
                      <c:ext uri="{CE6537A1-D6FC-4f65-9D91-7224C49458BB}">
                        <c15:dlblFieldTable>
                          <c15:dlblFTEntry>
                            <c15:txfldGUID>{AC361A47-63B0-4BA1-A55D-E6B6BC0F7D0F}</c15:txfldGUID>
                            <c15:f>'Financial Scorecard'!$G$26</c15:f>
                            <c15:dlblFieldTableCache>
                              <c:ptCount val="1"/>
                              <c:pt idx="0">
                                <c:v>0.0%</c:v>
                              </c:pt>
                            </c15:dlblFieldTableCache>
                          </c15:dlblFTEntry>
                        </c15:dlblFieldTable>
                        <c15:showDataLabelsRange val="0"/>
                      </c:ext>
                      <c:ext xmlns:c16="http://schemas.microsoft.com/office/drawing/2014/chart" uri="{C3380CC4-5D6E-409C-BE32-E72D297353CC}">
                        <c16:uniqueId val="{00000002-911F-4BF3-A752-B5D68CD63A0D}"/>
                      </c:ext>
                    </c:extLst>
                  </c15:dLbl>
                </c15:categoryFilterException>
                <c15:categoryFilterException>
                  <c15:sqref>'Financial Scorecard'!$T$35</c15:sqref>
                  <c15:dLbl>
                    <c:idx val="-1"/>
                    <c:layout>
                      <c:manualLayout>
                        <c:x val="0"/>
                        <c:y val="0.27777777777777779"/>
                      </c:manualLayout>
                    </c:layout>
                    <c:tx>
                      <c:rich>
                        <a:bodyPr/>
                        <a:lstStyle/>
                        <a:p>
                          <a:fld id="{7021C411-9FDD-4BD3-89DB-812EB74C1A93}" type="CELLREF">
                            <a:rPr lang="en-US"/>
                            <a:pPr/>
                            <a:t>[CELLREF]</a:t>
                          </a:fld>
                          <a:endParaRPr lang="en-US"/>
                        </a:p>
                      </c:rich>
                    </c:tx>
                    <c:showLegendKey val="0"/>
                    <c:showVal val="1"/>
                    <c:showCatName val="0"/>
                    <c:showSerName val="0"/>
                    <c:showPercent val="0"/>
                    <c:showBubbleSize val="0"/>
                    <c:extLst>
                      <c:ext uri="{CE6537A1-D6FC-4f65-9D91-7224C49458BB}">
                        <c15:dlblFieldTable>
                          <c15:dlblFTEntry>
                            <c15:txfldGUID>{7021C411-9FDD-4BD3-89DB-812EB74C1A93}</c15:txfldGUID>
                            <c15:f>'Financial Scorecard'!$G$26</c15:f>
                            <c15:dlblFieldTableCache>
                              <c:ptCount val="1"/>
                              <c:pt idx="0">
                                <c:v>0.0%</c:v>
                              </c:pt>
                            </c15:dlblFieldTableCache>
                          </c15:dlblFTEntry>
                        </c15:dlblFieldTable>
                        <c15:showDataLabelsRange val="0"/>
                      </c:ext>
                      <c:ext xmlns:c16="http://schemas.microsoft.com/office/drawing/2014/chart" uri="{C3380CC4-5D6E-409C-BE32-E72D297353CC}">
                        <c16:uniqueId val="{00000003-911F-4BF3-A752-B5D68CD63A0D}"/>
                      </c:ext>
                    </c:extLst>
                  </c15:dLbl>
                </c15:categoryFilterException>
              </c15:categoryFilterExceptions>
            </c:ext>
            <c:ext xmlns:c16="http://schemas.microsoft.com/office/drawing/2014/chart" uri="{C3380CC4-5D6E-409C-BE32-E72D297353CC}">
              <c16:uniqueId val="{00000003-DCDE-4715-A2E6-0D2ACCE9FC48}"/>
            </c:ext>
          </c:extLst>
        </c:ser>
        <c:dLbls>
          <c:showLegendKey val="0"/>
          <c:showVal val="0"/>
          <c:showCatName val="0"/>
          <c:showSerName val="0"/>
          <c:showPercent val="0"/>
          <c:showBubbleSize val="0"/>
        </c:dLbls>
        <c:gapWidth val="50"/>
        <c:overlap val="100"/>
        <c:axId val="419031976"/>
        <c:axId val="522590560"/>
      </c:barChart>
      <c:catAx>
        <c:axId val="521008736"/>
        <c:scaling>
          <c:orientation val="maxMin"/>
        </c:scaling>
        <c:delete val="1"/>
        <c:axPos val="l"/>
        <c:majorGridlines>
          <c:spPr>
            <a:ln w="9525" cap="flat" cmpd="sng" algn="ctr">
              <a:noFill/>
              <a:round/>
            </a:ln>
            <a:effectLst/>
          </c:spPr>
        </c:majorGridlines>
        <c:numFmt formatCode="General" sourceLinked="1"/>
        <c:majorTickMark val="none"/>
        <c:minorTickMark val="none"/>
        <c:tickLblPos val="nextTo"/>
        <c:crossAx val="414620848"/>
        <c:crossesAt val="0"/>
        <c:auto val="1"/>
        <c:lblAlgn val="ctr"/>
        <c:lblOffset val="100"/>
        <c:noMultiLvlLbl val="0"/>
      </c:catAx>
      <c:valAx>
        <c:axId val="414620848"/>
        <c:scaling>
          <c:orientation val="minMax"/>
          <c:max val="10"/>
          <c:min val="0"/>
        </c:scaling>
        <c:delete val="1"/>
        <c:axPos val="t"/>
        <c:numFmt formatCode="General" sourceLinked="1"/>
        <c:majorTickMark val="out"/>
        <c:minorTickMark val="none"/>
        <c:tickLblPos val="nextTo"/>
        <c:crossAx val="521008736"/>
        <c:crosses val="autoZero"/>
        <c:crossBetween val="between"/>
      </c:valAx>
      <c:valAx>
        <c:axId val="522590560"/>
        <c:scaling>
          <c:orientation val="minMax"/>
          <c:max val="9"/>
          <c:min val="0"/>
        </c:scaling>
        <c:delete val="1"/>
        <c:axPos val="b"/>
        <c:numFmt formatCode="General" sourceLinked="1"/>
        <c:majorTickMark val="out"/>
        <c:minorTickMark val="none"/>
        <c:tickLblPos val="nextTo"/>
        <c:crossAx val="419031976"/>
        <c:crosses val="max"/>
        <c:crossBetween val="between"/>
      </c:valAx>
      <c:catAx>
        <c:axId val="419031976"/>
        <c:scaling>
          <c:orientation val="maxMin"/>
        </c:scaling>
        <c:delete val="1"/>
        <c:axPos val="l"/>
        <c:numFmt formatCode="General" sourceLinked="1"/>
        <c:majorTickMark val="out"/>
        <c:minorTickMark val="none"/>
        <c:tickLblPos val="nextTo"/>
        <c:crossAx val="522590560"/>
        <c:crossesAt val="0"/>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'Final Income and Cash Flows'!$B$16</c:f>
          <c:strCache>
            <c:ptCount val="1"/>
            <c:pt idx="0">
              <c:v>AG INCOME &amp; EXPENSES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'Final Income and Cash Flows'!$Q$3</c:f>
              <c:strCache>
                <c:ptCount val="1"/>
                <c:pt idx="0">
                  <c:v>Ag Income</c:v>
                </c:pt>
              </c:strCache>
            </c:strRef>
          </c:tx>
          <c:spPr>
            <a:solidFill>
              <a:schemeClr val="accent1"/>
            </a:solidFill>
            <a:ln>
              <a:noFill/>
            </a:ln>
            <a:effectLst/>
          </c:spPr>
          <c:invertIfNegative val="0"/>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'Final Income and Cash Flows'!$Q$1:$R$1</c:f>
              <c:strCache>
                <c:ptCount val="2"/>
                <c:pt idx="0">
                  <c:v>0</c:v>
                </c:pt>
                <c:pt idx="1">
                  <c:v>1 Proj.</c:v>
                </c:pt>
              </c:strCache>
            </c:strRef>
          </c:cat>
          <c:val>
            <c:numRef>
              <c:f>'Final Income and Cash Flows'!$E$30:$F$30</c:f>
              <c:numCache>
                <c:formatCode>"$"#,##0_);\("$"#,##0\)</c:formatCode>
                <c:ptCount val="2"/>
                <c:pt idx="0">
                  <c:v>0</c:v>
                </c:pt>
                <c:pt idx="1">
                  <c:v>0</c:v>
                </c:pt>
              </c:numCache>
            </c:numRef>
          </c:val>
          <c:extLst>
            <c:ext xmlns:c16="http://schemas.microsoft.com/office/drawing/2014/chart" uri="{C3380CC4-5D6E-409C-BE32-E72D297353CC}">
              <c16:uniqueId val="{00000000-7C37-470E-9A49-C6174386BE67}"/>
            </c:ext>
          </c:extLst>
        </c:ser>
        <c:ser>
          <c:idx val="1"/>
          <c:order val="1"/>
          <c:tx>
            <c:strRef>
              <c:f>'Final Income and Cash Flows'!$R$3</c:f>
              <c:strCache>
                <c:ptCount val="1"/>
                <c:pt idx="0">
                  <c:v>Variable Ag Expenses</c:v>
                </c:pt>
              </c:strCache>
            </c:strRef>
          </c:tx>
          <c:spPr>
            <a:solidFill>
              <a:schemeClr val="accent2"/>
            </a:solidFill>
            <a:ln>
              <a:noFill/>
            </a:ln>
            <a:effectLst/>
          </c:spPr>
          <c:invertIfNegative val="0"/>
          <c:dLbls>
            <c:dLbl>
              <c:idx val="0"/>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0-3B9E-45B5-B670-46D1AE2D9C52}"/>
                </c:ext>
              </c:extLst>
            </c:dLbl>
            <c:dLbl>
              <c:idx val="1"/>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1-3B9E-45B5-B670-46D1AE2D9C52}"/>
                </c:ext>
              </c:extLst>
            </c:dLbl>
            <c:numFmt formatCode="&quot;$&quot;#,##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'Final Income and Cash Flows'!$Q$1:$R$1</c:f>
              <c:strCache>
                <c:ptCount val="2"/>
                <c:pt idx="0">
                  <c:v>0</c:v>
                </c:pt>
                <c:pt idx="1">
                  <c:v>1 Proj.</c:v>
                </c:pt>
              </c:strCache>
            </c:strRef>
          </c:cat>
          <c:val>
            <c:numRef>
              <c:f>'Final Income and Cash Flows'!$E$60:$F$60</c:f>
              <c:numCache>
                <c:formatCode>"$"#,##0_);\("$"#,##0\)</c:formatCode>
                <c:ptCount val="2"/>
                <c:pt idx="0" formatCode="General">
                  <c:v>0</c:v>
                </c:pt>
                <c:pt idx="1">
                  <c:v>0</c:v>
                </c:pt>
              </c:numCache>
            </c:numRef>
          </c:val>
          <c:extLst>
            <c:ext xmlns:c16="http://schemas.microsoft.com/office/drawing/2014/chart" uri="{C3380CC4-5D6E-409C-BE32-E72D297353CC}">
              <c16:uniqueId val="{00000001-7C37-470E-9A49-C6174386BE67}"/>
            </c:ext>
          </c:extLst>
        </c:ser>
        <c:ser>
          <c:idx val="2"/>
          <c:order val="2"/>
          <c:tx>
            <c:strRef>
              <c:f>'Final Income and Cash Flows'!$S$3</c:f>
              <c:strCache>
                <c:ptCount val="1"/>
                <c:pt idx="0">
                  <c:v>Fixed Ag Expenses</c:v>
                </c:pt>
              </c:strCache>
            </c:strRef>
          </c:tx>
          <c:spPr>
            <a:solidFill>
              <a:schemeClr val="accent3"/>
            </a:solidFill>
            <a:ln>
              <a:noFill/>
            </a:ln>
            <a:effectLst/>
          </c:spPr>
          <c:invertIfNegative val="0"/>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'Final Income and Cash Flows'!$Q$1:$R$1</c:f>
              <c:strCache>
                <c:ptCount val="2"/>
                <c:pt idx="0">
                  <c:v>0</c:v>
                </c:pt>
                <c:pt idx="1">
                  <c:v>1 Proj.</c:v>
                </c:pt>
              </c:strCache>
            </c:strRef>
          </c:cat>
          <c:val>
            <c:numRef>
              <c:f>'Final Income and Cash Flows'!$E$75:$F$75</c:f>
              <c:numCache>
                <c:formatCode>General</c:formatCode>
                <c:ptCount val="2"/>
                <c:pt idx="0">
                  <c:v>0</c:v>
                </c:pt>
                <c:pt idx="1">
                  <c:v>0</c:v>
                </c:pt>
              </c:numCache>
            </c:numRef>
          </c:val>
          <c:extLst>
            <c:ext xmlns:c16="http://schemas.microsoft.com/office/drawing/2014/chart" uri="{C3380CC4-5D6E-409C-BE32-E72D297353CC}">
              <c16:uniqueId val="{00000002-7C37-470E-9A49-C6174386BE67}"/>
            </c:ext>
          </c:extLst>
        </c:ser>
        <c:dLbls>
          <c:dLblPos val="outEnd"/>
          <c:showLegendKey val="0"/>
          <c:showVal val="1"/>
          <c:showCatName val="0"/>
          <c:showSerName val="0"/>
          <c:showPercent val="0"/>
          <c:showBubbleSize val="0"/>
        </c:dLbls>
        <c:gapWidth val="219"/>
        <c:overlap val="-27"/>
        <c:axId val="543406888"/>
        <c:axId val="543407280"/>
      </c:barChart>
      <c:catAx>
        <c:axId val="543406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3407280"/>
        <c:crosses val="autoZero"/>
        <c:auto val="1"/>
        <c:lblAlgn val="ctr"/>
        <c:lblOffset val="100"/>
        <c:noMultiLvlLbl val="0"/>
      </c:catAx>
      <c:valAx>
        <c:axId val="54340728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3406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Inputs!$E$54</c:f>
          <c:strCache>
            <c:ptCount val="1"/>
            <c:pt idx="0">
              <c:v>Top 10 Ag Expenses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w="9525">
              <a:solidFill>
                <a:schemeClr val="bg1"/>
              </a:solidFill>
            </a:ln>
          </c:spPr>
          <c:dPt>
            <c:idx val="0"/>
            <c:bubble3D val="0"/>
            <c:spPr>
              <a:solidFill>
                <a:schemeClr val="accent1"/>
              </a:solidFill>
              <a:ln w="9525">
                <a:solidFill>
                  <a:schemeClr val="bg1"/>
                </a:solidFill>
              </a:ln>
              <a:effectLst/>
            </c:spPr>
            <c:extLst>
              <c:ext xmlns:c16="http://schemas.microsoft.com/office/drawing/2014/chart" uri="{C3380CC4-5D6E-409C-BE32-E72D297353CC}">
                <c16:uniqueId val="{00000001-AC69-4077-98A8-8BE1C0EC7CEC}"/>
              </c:ext>
            </c:extLst>
          </c:dPt>
          <c:dPt>
            <c:idx val="1"/>
            <c:bubble3D val="0"/>
            <c:spPr>
              <a:solidFill>
                <a:schemeClr val="accent2"/>
              </a:solidFill>
              <a:ln w="9525">
                <a:solidFill>
                  <a:schemeClr val="bg1"/>
                </a:solidFill>
              </a:ln>
              <a:effectLst/>
            </c:spPr>
            <c:extLst>
              <c:ext xmlns:c16="http://schemas.microsoft.com/office/drawing/2014/chart" uri="{C3380CC4-5D6E-409C-BE32-E72D297353CC}">
                <c16:uniqueId val="{00000003-AC69-4077-98A8-8BE1C0EC7CEC}"/>
              </c:ext>
            </c:extLst>
          </c:dPt>
          <c:dPt>
            <c:idx val="2"/>
            <c:bubble3D val="0"/>
            <c:spPr>
              <a:solidFill>
                <a:schemeClr val="accent3"/>
              </a:solidFill>
              <a:ln w="9525">
                <a:solidFill>
                  <a:schemeClr val="bg1"/>
                </a:solidFill>
              </a:ln>
              <a:effectLst/>
            </c:spPr>
            <c:extLst>
              <c:ext xmlns:c16="http://schemas.microsoft.com/office/drawing/2014/chart" uri="{C3380CC4-5D6E-409C-BE32-E72D297353CC}">
                <c16:uniqueId val="{00000005-AC69-4077-98A8-8BE1C0EC7CEC}"/>
              </c:ext>
            </c:extLst>
          </c:dPt>
          <c:dPt>
            <c:idx val="3"/>
            <c:bubble3D val="0"/>
            <c:spPr>
              <a:solidFill>
                <a:schemeClr val="accent4"/>
              </a:solidFill>
              <a:ln w="9525">
                <a:solidFill>
                  <a:schemeClr val="bg1"/>
                </a:solidFill>
              </a:ln>
              <a:effectLst/>
            </c:spPr>
            <c:extLst>
              <c:ext xmlns:c16="http://schemas.microsoft.com/office/drawing/2014/chart" uri="{C3380CC4-5D6E-409C-BE32-E72D297353CC}">
                <c16:uniqueId val="{00000007-AC69-4077-98A8-8BE1C0EC7CEC}"/>
              </c:ext>
            </c:extLst>
          </c:dPt>
          <c:dPt>
            <c:idx val="4"/>
            <c:bubble3D val="0"/>
            <c:spPr>
              <a:solidFill>
                <a:schemeClr val="accent5"/>
              </a:solidFill>
              <a:ln w="9525">
                <a:solidFill>
                  <a:schemeClr val="bg1"/>
                </a:solidFill>
              </a:ln>
              <a:effectLst/>
            </c:spPr>
            <c:extLst>
              <c:ext xmlns:c16="http://schemas.microsoft.com/office/drawing/2014/chart" uri="{C3380CC4-5D6E-409C-BE32-E72D297353CC}">
                <c16:uniqueId val="{00000009-AC69-4077-98A8-8BE1C0EC7CEC}"/>
              </c:ext>
            </c:extLst>
          </c:dPt>
          <c:dPt>
            <c:idx val="5"/>
            <c:bubble3D val="0"/>
            <c:spPr>
              <a:solidFill>
                <a:schemeClr val="accent6"/>
              </a:solidFill>
              <a:ln w="9525">
                <a:solidFill>
                  <a:schemeClr val="bg1"/>
                </a:solidFill>
              </a:ln>
              <a:effectLst/>
            </c:spPr>
            <c:extLst>
              <c:ext xmlns:c16="http://schemas.microsoft.com/office/drawing/2014/chart" uri="{C3380CC4-5D6E-409C-BE32-E72D297353CC}">
                <c16:uniqueId val="{0000000B-AC69-4077-98A8-8BE1C0EC7CEC}"/>
              </c:ext>
            </c:extLst>
          </c:dPt>
          <c:dPt>
            <c:idx val="6"/>
            <c:bubble3D val="0"/>
            <c:spPr>
              <a:solidFill>
                <a:schemeClr val="accent1">
                  <a:lumMod val="60000"/>
                </a:schemeClr>
              </a:solidFill>
              <a:ln w="9525">
                <a:solidFill>
                  <a:schemeClr val="bg1"/>
                </a:solidFill>
              </a:ln>
              <a:effectLst/>
            </c:spPr>
            <c:extLst>
              <c:ext xmlns:c16="http://schemas.microsoft.com/office/drawing/2014/chart" uri="{C3380CC4-5D6E-409C-BE32-E72D297353CC}">
                <c16:uniqueId val="{0000000D-AC69-4077-98A8-8BE1C0EC7CEC}"/>
              </c:ext>
            </c:extLst>
          </c:dPt>
          <c:dPt>
            <c:idx val="7"/>
            <c:bubble3D val="0"/>
            <c:spPr>
              <a:solidFill>
                <a:schemeClr val="accent2">
                  <a:lumMod val="60000"/>
                </a:schemeClr>
              </a:solidFill>
              <a:ln w="9525">
                <a:solidFill>
                  <a:schemeClr val="bg1"/>
                </a:solidFill>
              </a:ln>
              <a:effectLst/>
            </c:spPr>
            <c:extLst>
              <c:ext xmlns:c16="http://schemas.microsoft.com/office/drawing/2014/chart" uri="{C3380CC4-5D6E-409C-BE32-E72D297353CC}">
                <c16:uniqueId val="{0000000F-AC69-4077-98A8-8BE1C0EC7CEC}"/>
              </c:ext>
            </c:extLst>
          </c:dPt>
          <c:dPt>
            <c:idx val="8"/>
            <c:bubble3D val="0"/>
            <c:spPr>
              <a:solidFill>
                <a:schemeClr val="accent3">
                  <a:lumMod val="60000"/>
                </a:schemeClr>
              </a:solidFill>
              <a:ln w="9525">
                <a:solidFill>
                  <a:schemeClr val="bg1"/>
                </a:solidFill>
              </a:ln>
              <a:effectLst/>
            </c:spPr>
            <c:extLst>
              <c:ext xmlns:c16="http://schemas.microsoft.com/office/drawing/2014/chart" uri="{C3380CC4-5D6E-409C-BE32-E72D297353CC}">
                <c16:uniqueId val="{00000011-AC69-4077-98A8-8BE1C0EC7CEC}"/>
              </c:ext>
            </c:extLst>
          </c:dPt>
          <c:dPt>
            <c:idx val="9"/>
            <c:bubble3D val="0"/>
            <c:spPr>
              <a:solidFill>
                <a:schemeClr val="accent4">
                  <a:lumMod val="60000"/>
                </a:schemeClr>
              </a:solidFill>
              <a:ln w="9525">
                <a:solidFill>
                  <a:schemeClr val="bg1"/>
                </a:solidFill>
              </a:ln>
              <a:effectLst/>
            </c:spPr>
            <c:extLst>
              <c:ext xmlns:c16="http://schemas.microsoft.com/office/drawing/2014/chart" uri="{C3380CC4-5D6E-409C-BE32-E72D297353CC}">
                <c16:uniqueId val="{00000013-AC69-4077-98A8-8BE1C0EC7CEC}"/>
              </c:ext>
            </c:extLst>
          </c:dPt>
          <c:dPt>
            <c:idx val="10"/>
            <c:bubble3D val="0"/>
            <c:spPr>
              <a:solidFill>
                <a:schemeClr val="accent5">
                  <a:lumMod val="60000"/>
                </a:schemeClr>
              </a:solidFill>
              <a:ln w="9525">
                <a:solidFill>
                  <a:schemeClr val="bg1"/>
                </a:solidFill>
              </a:ln>
              <a:effectLst/>
            </c:spPr>
            <c:extLst>
              <c:ext xmlns:c16="http://schemas.microsoft.com/office/drawing/2014/chart" uri="{C3380CC4-5D6E-409C-BE32-E72D297353CC}">
                <c16:uniqueId val="{00000015-AC69-4077-98A8-8BE1C0EC7CEC}"/>
              </c:ext>
            </c:extLst>
          </c:dPt>
          <c:dLbls>
            <c:spPr>
              <a:noFill/>
              <a:ln>
                <a:no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f>Inputs!$S$84:$S$94</c:f>
              <c:strCache>
                <c:ptCount val="11"/>
                <c:pt idx="0">
                  <c:v>Land Rent</c:v>
                </c:pt>
                <c:pt idx="1">
                  <c:v>#N/A</c:v>
                </c:pt>
                <c:pt idx="2">
                  <c:v>#N/A</c:v>
                </c:pt>
                <c:pt idx="3">
                  <c:v>#N/A</c:v>
                </c:pt>
                <c:pt idx="4">
                  <c:v>#N/A</c:v>
                </c:pt>
                <c:pt idx="5">
                  <c:v>#N/A</c:v>
                </c:pt>
                <c:pt idx="6">
                  <c:v>#N/A</c:v>
                </c:pt>
                <c:pt idx="7">
                  <c:v>#N/A</c:v>
                </c:pt>
                <c:pt idx="8">
                  <c:v>#N/A</c:v>
                </c:pt>
                <c:pt idx="9">
                  <c:v>#N/A</c:v>
                </c:pt>
                <c:pt idx="10">
                  <c:v>Remainder</c:v>
                </c:pt>
              </c:strCache>
            </c:strRef>
          </c:cat>
          <c:val>
            <c:numRef>
              <c:f>Inputs!$T$84:$T$94</c:f>
              <c:numCache>
                <c:formatCode>_("$"* #,##0_);_("$"* \(#,##0\);_("$"* "-"??_);_(@_)</c:formatCode>
                <c:ptCount val="11"/>
                <c:pt idx="0">
                  <c:v>0</c:v>
                </c:pt>
                <c:pt idx="1">
                  <c:v>#N/A</c:v>
                </c:pt>
                <c:pt idx="2">
                  <c:v>#N/A</c:v>
                </c:pt>
                <c:pt idx="3">
                  <c:v>#N/A</c:v>
                </c:pt>
                <c:pt idx="4">
                  <c:v>#N/A</c:v>
                </c:pt>
                <c:pt idx="5">
                  <c:v>#N/A</c:v>
                </c:pt>
                <c:pt idx="6">
                  <c:v>#N/A</c:v>
                </c:pt>
                <c:pt idx="7">
                  <c:v>#N/A</c:v>
                </c:pt>
                <c:pt idx="8">
                  <c:v>#N/A</c:v>
                </c:pt>
                <c:pt idx="9">
                  <c:v>#N/A</c:v>
                </c:pt>
                <c:pt idx="10">
                  <c:v>#N/A</c:v>
                </c:pt>
              </c:numCache>
            </c:numRef>
          </c:val>
          <c:extLst>
            <c:ext xmlns:c16="http://schemas.microsoft.com/office/drawing/2014/chart" uri="{C3380CC4-5D6E-409C-BE32-E72D297353CC}">
              <c16:uniqueId val="{00000016-AC69-4077-98A8-8BE1C0EC7CEC}"/>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12700"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Inputs!$M$60</c:f>
          <c:strCache>
            <c:ptCount val="1"/>
            <c:pt idx="0">
              <c:v>1 Projected - Interest Expense Ratio</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spPr>
            <a:ln>
              <a:noFill/>
            </a:ln>
          </c:spPr>
          <c:dPt>
            <c:idx val="0"/>
            <c:bubble3D val="0"/>
            <c:spPr>
              <a:solidFill>
                <a:srgbClr val="FF0000"/>
              </a:solidFill>
              <a:ln w="19050">
                <a:noFill/>
              </a:ln>
              <a:effectLst/>
            </c:spPr>
            <c:extLst>
              <c:ext xmlns:c16="http://schemas.microsoft.com/office/drawing/2014/chart" uri="{C3380CC4-5D6E-409C-BE32-E72D297353CC}">
                <c16:uniqueId val="{00000001-7A1E-4EC9-AD43-ED4BC3763796}"/>
              </c:ext>
            </c:extLst>
          </c:dPt>
          <c:dPt>
            <c:idx val="1"/>
            <c:bubble3D val="0"/>
            <c:spPr>
              <a:solidFill>
                <a:srgbClr val="FFFF00"/>
              </a:solidFill>
              <a:ln w="19050">
                <a:noFill/>
              </a:ln>
              <a:effectLst/>
            </c:spPr>
            <c:extLst>
              <c:ext xmlns:c16="http://schemas.microsoft.com/office/drawing/2014/chart" uri="{C3380CC4-5D6E-409C-BE32-E72D297353CC}">
                <c16:uniqueId val="{00000003-7A1E-4EC9-AD43-ED4BC3763796}"/>
              </c:ext>
            </c:extLst>
          </c:dPt>
          <c:dPt>
            <c:idx val="2"/>
            <c:bubble3D val="0"/>
            <c:spPr>
              <a:solidFill>
                <a:srgbClr val="00B050"/>
              </a:solidFill>
              <a:ln w="19050">
                <a:noFill/>
              </a:ln>
              <a:effectLst/>
            </c:spPr>
            <c:extLst>
              <c:ext xmlns:c16="http://schemas.microsoft.com/office/drawing/2014/chart" uri="{C3380CC4-5D6E-409C-BE32-E72D297353CC}">
                <c16:uniqueId val="{00000005-7A1E-4EC9-AD43-ED4BC3763796}"/>
              </c:ext>
            </c:extLst>
          </c:dPt>
          <c:dPt>
            <c:idx val="3"/>
            <c:bubble3D val="0"/>
            <c:spPr>
              <a:noFill/>
              <a:ln w="19050">
                <a:noFill/>
              </a:ln>
              <a:effectLst/>
            </c:spPr>
            <c:extLst>
              <c:ext xmlns:c16="http://schemas.microsoft.com/office/drawing/2014/chart" uri="{C3380CC4-5D6E-409C-BE32-E72D297353CC}">
                <c16:uniqueId val="{00000007-7A1E-4EC9-AD43-ED4BC3763796}"/>
              </c:ext>
            </c:extLst>
          </c:dPt>
          <c:val>
            <c:numRef>
              <c:f>Inputs!$Q$60:$T$60</c:f>
              <c:numCache>
                <c:formatCode>General</c:formatCode>
                <c:ptCount val="4"/>
                <c:pt idx="0">
                  <c:v>5.0000000000000001E-3</c:v>
                </c:pt>
                <c:pt idx="1">
                  <c:v>5.0000000000000001E-3</c:v>
                </c:pt>
                <c:pt idx="2">
                  <c:v>5.0000000000000001E-3</c:v>
                </c:pt>
                <c:pt idx="3">
                  <c:v>1.4999999999999999E-2</c:v>
                </c:pt>
              </c:numCache>
            </c:numRef>
          </c:val>
          <c:extLst>
            <c:ext xmlns:c16="http://schemas.microsoft.com/office/drawing/2014/chart" uri="{C3380CC4-5D6E-409C-BE32-E72D297353CC}">
              <c16:uniqueId val="{00000008-7A1E-4EC9-AD43-ED4BC3763796}"/>
            </c:ext>
          </c:extLst>
        </c:ser>
        <c:dLbls>
          <c:showLegendKey val="0"/>
          <c:showVal val="0"/>
          <c:showCatName val="0"/>
          <c:showSerName val="0"/>
          <c:showPercent val="0"/>
          <c:showBubbleSize val="0"/>
          <c:showLeaderLines val="1"/>
        </c:dLbls>
        <c:firstSliceAng val="270"/>
        <c:holeSize val="50"/>
      </c:doughnutChart>
      <c:pieChart>
        <c:varyColors val="1"/>
        <c:ser>
          <c:idx val="1"/>
          <c:order val="1"/>
          <c:tx>
            <c:strRef>
              <c:f>Inputs!$L$64</c:f>
              <c:strCache>
                <c:ptCount val="1"/>
              </c:strCache>
            </c:strRef>
          </c:tx>
          <c:spPr>
            <a:ln>
              <a:noFill/>
            </a:ln>
          </c:spPr>
          <c:dPt>
            <c:idx val="0"/>
            <c:bubble3D val="0"/>
            <c:spPr>
              <a:noFill/>
              <a:ln w="19050">
                <a:noFill/>
              </a:ln>
              <a:effectLst/>
            </c:spPr>
            <c:extLst>
              <c:ext xmlns:c16="http://schemas.microsoft.com/office/drawing/2014/chart" uri="{C3380CC4-5D6E-409C-BE32-E72D297353CC}">
                <c16:uniqueId val="{0000000A-7A1E-4EC9-AD43-ED4BC3763796}"/>
              </c:ext>
            </c:extLst>
          </c:dPt>
          <c:dPt>
            <c:idx val="1"/>
            <c:bubble3D val="0"/>
            <c:spPr>
              <a:solidFill>
                <a:schemeClr val="tx1"/>
              </a:solidFill>
              <a:ln w="19050">
                <a:noFill/>
              </a:ln>
              <a:effectLst/>
            </c:spPr>
            <c:extLst>
              <c:ext xmlns:c16="http://schemas.microsoft.com/office/drawing/2014/chart" uri="{C3380CC4-5D6E-409C-BE32-E72D297353CC}">
                <c16:uniqueId val="{0000000C-7A1E-4EC9-AD43-ED4BC3763796}"/>
              </c:ext>
            </c:extLst>
          </c:dPt>
          <c:dPt>
            <c:idx val="2"/>
            <c:bubble3D val="0"/>
            <c:spPr>
              <a:noFill/>
              <a:ln w="19050">
                <a:noFill/>
              </a:ln>
              <a:effectLst/>
            </c:spPr>
            <c:extLst>
              <c:ext xmlns:c16="http://schemas.microsoft.com/office/drawing/2014/chart" uri="{C3380CC4-5D6E-409C-BE32-E72D297353CC}">
                <c16:uniqueId val="{0000000E-7A1E-4EC9-AD43-ED4BC3763796}"/>
              </c:ext>
            </c:extLst>
          </c:dPt>
          <c:dPt>
            <c:idx val="3"/>
            <c:bubble3D val="0"/>
            <c:spPr>
              <a:noFill/>
              <a:ln w="19050">
                <a:noFill/>
              </a:ln>
              <a:effectLst/>
            </c:spPr>
            <c:extLst>
              <c:ext xmlns:c16="http://schemas.microsoft.com/office/drawing/2014/chart" uri="{C3380CC4-5D6E-409C-BE32-E72D297353CC}">
                <c16:uniqueId val="{0000000E-BEA8-4D5A-A521-D5EE92D6C74B}"/>
              </c:ext>
            </c:extLst>
          </c:dPt>
          <c:dLbls>
            <c:dLbl>
              <c:idx val="1"/>
              <c:tx>
                <c:rich>
                  <a:bodyPr/>
                  <a:lstStyle/>
                  <a:p>
                    <a:fld id="{9AF1CFE2-68BC-4B42-BEE8-B1B345A48825}" type="CELLREF">
                      <a:rPr lang="en-US"/>
                      <a:pPr/>
                      <a:t>[CELLREF]</a:t>
                    </a:fld>
                    <a:endParaRPr lang="en-US"/>
                  </a:p>
                </c:rich>
              </c:tx>
              <c:dLblPos val="outEnd"/>
              <c:showLegendKey val="0"/>
              <c:showVal val="1"/>
              <c:showCatName val="0"/>
              <c:showSerName val="0"/>
              <c:showPercent val="0"/>
              <c:showBubbleSize val="0"/>
              <c:extLst>
                <c:ext xmlns:c15="http://schemas.microsoft.com/office/drawing/2012/chart" uri="{CE6537A1-D6FC-4f65-9D91-7224C49458BB}">
                  <c15:dlblFieldTable>
                    <c15:dlblFTEntry>
                      <c15:txfldGUID>{9AF1CFE2-68BC-4B42-BEE8-B1B345A48825}</c15:txfldGUID>
                      <c15:f>Inputs!$L$60</c15:f>
                      <c15:dlblFieldTableCache>
                        <c:ptCount val="1"/>
                        <c:pt idx="0">
                          <c:v>0.0%</c:v>
                        </c:pt>
                      </c15:dlblFieldTableCache>
                    </c15:dlblFTEntry>
                  </c15:dlblFieldTable>
                  <c15:showDataLabelsRange val="0"/>
                </c:ext>
                <c:ext xmlns:c16="http://schemas.microsoft.com/office/drawing/2014/chart" uri="{C3380CC4-5D6E-409C-BE32-E72D297353CC}">
                  <c16:uniqueId val="{0000000C-7A1E-4EC9-AD43-ED4BC3763796}"/>
                </c:ext>
              </c:extLst>
            </c:dLbl>
            <c:spPr>
              <a:noFill/>
              <a:ln>
                <a:noFill/>
              </a:ln>
              <a:effectLst/>
            </c:spPr>
            <c:txPr>
              <a:bodyPr rot="0" spcFirstLastPara="1" vertOverflow="clip" horzOverflow="clip"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0"/>
            <c:showBubbleSize val="0"/>
            <c:extLst>
              <c:ext xmlns:c15="http://schemas.microsoft.com/office/drawing/2012/chart" uri="{CE6537A1-D6FC-4f65-9D91-7224C49458BB}"/>
            </c:extLst>
          </c:dLbls>
          <c:val>
            <c:numRef>
              <c:f>(Inputs!$K$60,Inputs!$U$60:$V$60,Inputs!$X$60)</c:f>
              <c:numCache>
                <c:formatCode>General</c:formatCode>
                <c:ptCount val="4"/>
                <c:pt idx="0" formatCode="_(* #,##0.000_);_(* \(#,##0.000\);_(* &quot;-&quot;??_);_(@_)">
                  <c:v>0</c:v>
                </c:pt>
                <c:pt idx="1">
                  <c:v>0</c:v>
                </c:pt>
                <c:pt idx="2" formatCode="_(* #,##0.00_);_(* \(#,##0.00\);_(* &quot;-&quot;??_);_(@_)">
                  <c:v>0</c:v>
                </c:pt>
                <c:pt idx="3">
                  <c:v>0</c:v>
                </c:pt>
              </c:numCache>
            </c:numRef>
          </c:val>
          <c:extLst>
            <c:ext xmlns:c16="http://schemas.microsoft.com/office/drawing/2014/chart" uri="{C3380CC4-5D6E-409C-BE32-E72D297353CC}">
              <c16:uniqueId val="{0000000F-7A1E-4EC9-AD43-ED4BC3763796}"/>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Business Net Income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'Final Income and Cash Flows'!$P$2</c:f>
              <c:strCache>
                <c:ptCount val="1"/>
                <c:pt idx="0">
                  <c:v>Ag Net Income</c:v>
                </c:pt>
              </c:strCache>
            </c:strRef>
          </c:tx>
          <c:spPr>
            <a:solidFill>
              <a:schemeClr val="accent1"/>
            </a:solidFill>
            <a:ln>
              <a:noFill/>
            </a:ln>
            <a:effectLst/>
          </c:spPr>
          <c:invertIfNegative val="0"/>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'Final Income and Cash Flows'!$Q$1:$R$1</c:f>
              <c:strCache>
                <c:ptCount val="2"/>
                <c:pt idx="0">
                  <c:v>0</c:v>
                </c:pt>
                <c:pt idx="1">
                  <c:v>1 Proj.</c:v>
                </c:pt>
              </c:strCache>
            </c:strRef>
          </c:cat>
          <c:val>
            <c:numRef>
              <c:f>'Final Income and Cash Flows'!$E$79:$F$79</c:f>
              <c:numCache>
                <c:formatCode>General</c:formatCode>
                <c:ptCount val="2"/>
                <c:pt idx="0">
                  <c:v>0</c:v>
                </c:pt>
                <c:pt idx="1">
                  <c:v>0</c:v>
                </c:pt>
              </c:numCache>
            </c:numRef>
          </c:val>
          <c:extLst>
            <c:ext xmlns:c16="http://schemas.microsoft.com/office/drawing/2014/chart" uri="{C3380CC4-5D6E-409C-BE32-E72D297353CC}">
              <c16:uniqueId val="{00000000-C24C-4C0D-9A82-020F0F7B9D19}"/>
            </c:ext>
          </c:extLst>
        </c:ser>
        <c:ser>
          <c:idx val="1"/>
          <c:order val="1"/>
          <c:tx>
            <c:strRef>
              <c:f>'Final Income and Cash Flows'!$S$2</c:f>
              <c:strCache>
                <c:ptCount val="1"/>
              </c:strCache>
            </c:strRef>
          </c:tx>
          <c:spPr>
            <a:solidFill>
              <a:schemeClr val="accent2"/>
            </a:solidFill>
            <a:ln>
              <a:noFill/>
            </a:ln>
            <a:effectLst/>
          </c:spPr>
          <c:invertIfNegative val="0"/>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'Final Income and Cash Flows'!$Q$1:$R$1</c:f>
              <c:strCache>
                <c:ptCount val="2"/>
                <c:pt idx="0">
                  <c:v>0</c:v>
                </c:pt>
                <c:pt idx="1">
                  <c:v>1 Proj.</c:v>
                </c:pt>
              </c:strCache>
            </c:strRef>
          </c:cat>
          <c:val>
            <c:numRef>
              <c:f>'Final Income and Cash Flows'!$E$126:$F$126</c:f>
              <c:numCache>
                <c:formatCode>General</c:formatCode>
                <c:ptCount val="2"/>
                <c:pt idx="0">
                  <c:v>0</c:v>
                </c:pt>
                <c:pt idx="1">
                  <c:v>0</c:v>
                </c:pt>
              </c:numCache>
            </c:numRef>
          </c:val>
          <c:extLst>
            <c:ext xmlns:c16="http://schemas.microsoft.com/office/drawing/2014/chart" uri="{C3380CC4-5D6E-409C-BE32-E72D297353CC}">
              <c16:uniqueId val="{00000001-C24C-4C0D-9A82-020F0F7B9D19}"/>
            </c:ext>
          </c:extLst>
        </c:ser>
        <c:dLbls>
          <c:dLblPos val="outEnd"/>
          <c:showLegendKey val="0"/>
          <c:showVal val="1"/>
          <c:showCatName val="0"/>
          <c:showSerName val="0"/>
          <c:showPercent val="0"/>
          <c:showBubbleSize val="0"/>
        </c:dLbls>
        <c:gapWidth val="219"/>
        <c:overlap val="-27"/>
        <c:axId val="542854256"/>
        <c:axId val="542853864"/>
      </c:barChart>
      <c:catAx>
        <c:axId val="542854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2853864"/>
        <c:crosses val="autoZero"/>
        <c:auto val="1"/>
        <c:lblAlgn val="ctr"/>
        <c:lblOffset val="100"/>
        <c:noMultiLvlLbl val="0"/>
      </c:catAx>
      <c:valAx>
        <c:axId val="5428538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28542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Inputs!$E$53</c:f>
          <c:strCache>
            <c:ptCount val="1"/>
            <c:pt idx="0">
              <c:v>AG INCOME &amp; EXPENSES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Inputs!$G$55</c:f>
              <c:strCache>
                <c:ptCount val="1"/>
                <c:pt idx="0">
                  <c:v>Value</c:v>
                </c:pt>
              </c:strCache>
            </c:strRef>
          </c:tx>
          <c:spPr>
            <a:solidFill>
              <a:schemeClr val="accent1"/>
            </a:solidFill>
            <a:ln>
              <a:noFill/>
            </a:ln>
            <a:effectLst/>
          </c:spPr>
          <c:invertIfNegative val="0"/>
          <c:dPt>
            <c:idx val="1"/>
            <c:invertIfNegative val="0"/>
            <c:bubble3D val="0"/>
            <c:spPr>
              <a:solidFill>
                <a:schemeClr val="accent2"/>
              </a:solidFill>
              <a:ln>
                <a:noFill/>
              </a:ln>
              <a:effectLst/>
            </c:spPr>
            <c:extLst>
              <c:ext xmlns:c16="http://schemas.microsoft.com/office/drawing/2014/chart" uri="{C3380CC4-5D6E-409C-BE32-E72D297353CC}">
                <c16:uniqueId val="{00000001-0F21-4F38-B251-D0258D5D5E42}"/>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3-0F21-4F38-B251-D0258D5D5E42}"/>
              </c:ext>
            </c:extLst>
          </c:dPt>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Inputs!$F$56:$F$60</c:f>
              <c:strCache>
                <c:ptCount val="5"/>
                <c:pt idx="0">
                  <c:v>Total Ag Income</c:v>
                </c:pt>
                <c:pt idx="1">
                  <c:v>Total Ag Direct Expenses</c:v>
                </c:pt>
                <c:pt idx="2">
                  <c:v>Total Ag Overhead Expenses</c:v>
                </c:pt>
                <c:pt idx="3">
                  <c:v>Total Ag Net Income</c:v>
                </c:pt>
                <c:pt idx="4">
                  <c:v>Total Ag Net Income</c:v>
                </c:pt>
              </c:strCache>
            </c:strRef>
          </c:cat>
          <c:val>
            <c:numRef>
              <c:f>Inputs!$G$56:$G$60</c:f>
              <c:numCache>
                <c:formatCode>General</c:formatCode>
                <c:ptCount val="5"/>
                <c:pt idx="0">
                  <c:v>0</c:v>
                </c:pt>
                <c:pt idx="1">
                  <c:v>0</c:v>
                </c:pt>
                <c:pt idx="2">
                  <c:v>0</c:v>
                </c:pt>
                <c:pt idx="3" formatCode="_(&quot;$&quot;* #,##0_);_(&quot;$&quot;* \(#,##0\);_(&quot;$&quot;* &quot;-&quot;??_);_(@_)">
                  <c:v>0</c:v>
                </c:pt>
                <c:pt idx="4" formatCode="_(&quot;$&quot;* #,##0_);_(&quot;$&quot;* \(#,##0\);_(&quot;$&quot;* &quot;-&quot;??_);_(@_)">
                  <c:v>0</c:v>
                </c:pt>
              </c:numCache>
            </c:numRef>
          </c:val>
          <c:extLst>
            <c:ext xmlns:c16="http://schemas.microsoft.com/office/drawing/2014/chart" uri="{C3380CC4-5D6E-409C-BE32-E72D297353CC}">
              <c16:uniqueId val="{00000004-0F21-4F38-B251-D0258D5D5E42}"/>
            </c:ext>
          </c:extLst>
        </c:ser>
        <c:dLbls>
          <c:showLegendKey val="0"/>
          <c:showVal val="0"/>
          <c:showCatName val="0"/>
          <c:showSerName val="0"/>
          <c:showPercent val="0"/>
          <c:showBubbleSize val="0"/>
        </c:dLbls>
        <c:gapWidth val="219"/>
        <c:overlap val="-27"/>
        <c:axId val="359542384"/>
        <c:axId val="359544680"/>
      </c:barChart>
      <c:catAx>
        <c:axId val="359542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9544680"/>
        <c:crosses val="autoZero"/>
        <c:auto val="1"/>
        <c:lblAlgn val="ctr"/>
        <c:lblOffset val="100"/>
        <c:noMultiLvlLbl val="0"/>
      </c:catAx>
      <c:valAx>
        <c:axId val="35954468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9542384"/>
        <c:crosses val="autoZero"/>
        <c:crossBetween val="between"/>
      </c:valAx>
      <c:spPr>
        <a:noFill/>
        <a:ln>
          <a:noFill/>
        </a:ln>
        <a:effectLst/>
      </c:spPr>
    </c:plotArea>
    <c:plotVisOnly val="1"/>
    <c:dispBlanksAs val="gap"/>
    <c:showDLblsOverMax val="0"/>
  </c:chart>
  <c:spPr>
    <a:solidFill>
      <a:schemeClr val="bg1"/>
    </a:solidFill>
    <a:ln w="12700" cap="flat" cmpd="sng" algn="ctr">
      <a:solidFill>
        <a:sysClr val="windowText" lastClr="000000"/>
      </a:solidFill>
      <a:round/>
    </a:ln>
    <a:effectLst/>
  </c:spPr>
  <c:txPr>
    <a:bodyPr/>
    <a:lstStyle/>
    <a:p>
      <a:pPr>
        <a:defRPr/>
      </a:pPr>
      <a:endParaRPr lang="en-US"/>
    </a:p>
  </c:txPr>
  <c:printSettings>
    <c:headerFooter/>
    <c:pageMargins b="0.75" l="0.7" r="0.7" t="0.75" header="0.3" footer="0.3"/>
    <c:pageSetup orientation="portrait"/>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'Final Income and Cash Flows'!$B$88:$D$88</c:f>
          <c:strCache>
            <c:ptCount val="3"/>
            <c:pt idx="0">
              <c:v>DIRECT MARKETING INCOME &amp; EXPENSES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'Final Income and Cash Flows'!$Q$5</c:f>
              <c:strCache>
                <c:ptCount val="1"/>
              </c:strCache>
            </c:strRef>
          </c:tx>
          <c:spPr>
            <a:solidFill>
              <a:schemeClr val="accent1"/>
            </a:solidFill>
            <a:ln>
              <a:noFill/>
            </a:ln>
            <a:effectLst/>
          </c:spPr>
          <c:invertIfNegative val="0"/>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'Final Income and Cash Flows'!$Q$1:$R$1</c:f>
              <c:strCache>
                <c:ptCount val="2"/>
                <c:pt idx="0">
                  <c:v>0</c:v>
                </c:pt>
                <c:pt idx="1">
                  <c:v>1 Proj.</c:v>
                </c:pt>
              </c:strCache>
            </c:strRef>
          </c:cat>
          <c:val>
            <c:numRef>
              <c:f>'Final Income and Cash Flows'!$E$98:$F$98</c:f>
              <c:numCache>
                <c:formatCode>"$"#,##0_);\("$"#,##0\)</c:formatCode>
                <c:ptCount val="2"/>
                <c:pt idx="0" formatCode="General">
                  <c:v>0</c:v>
                </c:pt>
                <c:pt idx="1">
                  <c:v>0</c:v>
                </c:pt>
              </c:numCache>
            </c:numRef>
          </c:val>
          <c:extLst>
            <c:ext xmlns:c16="http://schemas.microsoft.com/office/drawing/2014/chart" uri="{C3380CC4-5D6E-409C-BE32-E72D297353CC}">
              <c16:uniqueId val="{00000000-B177-4643-A873-7110005F92AE}"/>
            </c:ext>
          </c:extLst>
        </c:ser>
        <c:ser>
          <c:idx val="1"/>
          <c:order val="1"/>
          <c:tx>
            <c:strRef>
              <c:f>'Final Income and Cash Flows'!$R$5</c:f>
              <c:strCache>
                <c:ptCount val="1"/>
              </c:strCache>
            </c:strRef>
          </c:tx>
          <c:spPr>
            <a:solidFill>
              <a:schemeClr val="accent2"/>
            </a:solidFill>
            <a:ln>
              <a:noFill/>
            </a:ln>
            <a:effectLst/>
          </c:spPr>
          <c:invertIfNegative val="0"/>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'Final Income and Cash Flows'!$Q$1:$R$1</c:f>
              <c:strCache>
                <c:ptCount val="2"/>
                <c:pt idx="0">
                  <c:v>0</c:v>
                </c:pt>
                <c:pt idx="1">
                  <c:v>1 Proj.</c:v>
                </c:pt>
              </c:strCache>
            </c:strRef>
          </c:cat>
          <c:val>
            <c:numRef>
              <c:f>'Final Income and Cash Flows'!$E$111:$F$111</c:f>
              <c:numCache>
                <c:formatCode>"$"#,##0_);\("$"#,##0\)</c:formatCode>
                <c:ptCount val="2"/>
                <c:pt idx="0" formatCode="General">
                  <c:v>0</c:v>
                </c:pt>
                <c:pt idx="1">
                  <c:v>0</c:v>
                </c:pt>
              </c:numCache>
            </c:numRef>
          </c:val>
          <c:extLst>
            <c:ext xmlns:c16="http://schemas.microsoft.com/office/drawing/2014/chart" uri="{C3380CC4-5D6E-409C-BE32-E72D297353CC}">
              <c16:uniqueId val="{00000001-B177-4643-A873-7110005F92AE}"/>
            </c:ext>
          </c:extLst>
        </c:ser>
        <c:ser>
          <c:idx val="2"/>
          <c:order val="2"/>
          <c:tx>
            <c:strRef>
              <c:f>'Final Income and Cash Flows'!$S$5</c:f>
              <c:strCache>
                <c:ptCount val="1"/>
              </c:strCache>
            </c:strRef>
          </c:tx>
          <c:spPr>
            <a:solidFill>
              <a:schemeClr val="accent3"/>
            </a:solidFill>
            <a:ln>
              <a:noFill/>
            </a:ln>
            <a:effectLst/>
          </c:spPr>
          <c:invertIfNegative val="0"/>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'Final Income and Cash Flows'!$Q$1:$R$1</c:f>
              <c:strCache>
                <c:ptCount val="2"/>
                <c:pt idx="0">
                  <c:v>0</c:v>
                </c:pt>
                <c:pt idx="1">
                  <c:v>1 Proj.</c:v>
                </c:pt>
              </c:strCache>
            </c:strRef>
          </c:cat>
          <c:val>
            <c:numRef>
              <c:f>'Final Income and Cash Flows'!$E$122:$F$122</c:f>
              <c:numCache>
                <c:formatCode>"$"#,##0_);\("$"#,##0\)</c:formatCode>
                <c:ptCount val="2"/>
                <c:pt idx="0" formatCode="General">
                  <c:v>0</c:v>
                </c:pt>
                <c:pt idx="1">
                  <c:v>0</c:v>
                </c:pt>
              </c:numCache>
            </c:numRef>
          </c:val>
          <c:extLst>
            <c:ext xmlns:c16="http://schemas.microsoft.com/office/drawing/2014/chart" uri="{C3380CC4-5D6E-409C-BE32-E72D297353CC}">
              <c16:uniqueId val="{00000002-B177-4643-A873-7110005F92AE}"/>
            </c:ext>
          </c:extLst>
        </c:ser>
        <c:dLbls>
          <c:dLblPos val="outEnd"/>
          <c:showLegendKey val="0"/>
          <c:showVal val="1"/>
          <c:showCatName val="0"/>
          <c:showSerName val="0"/>
          <c:showPercent val="0"/>
          <c:showBubbleSize val="0"/>
        </c:dLbls>
        <c:gapWidth val="219"/>
        <c:overlap val="-27"/>
        <c:axId val="542854648"/>
        <c:axId val="542855040"/>
      </c:barChart>
      <c:catAx>
        <c:axId val="542854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2855040"/>
        <c:crosses val="autoZero"/>
        <c:auto val="1"/>
        <c:lblAlgn val="ctr"/>
        <c:lblOffset val="100"/>
        <c:noMultiLvlLbl val="0"/>
      </c:catAx>
      <c:valAx>
        <c:axId val="54285504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2854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'Final Income and Cash Flows'!$M$83</c:f>
          <c:strCache>
            <c:ptCount val="1"/>
            <c:pt idx="0">
              <c:v>Direct Marketing Expenses - 1 Projected</c:v>
            </c:pt>
          </c:strCache>
        </c:strRef>
      </c:tx>
      <c:layout>
        <c:manualLayout>
          <c:xMode val="edge"/>
          <c:yMode val="edge"/>
          <c:x val="2.3353074543374177E-2"/>
          <c:y val="4.1666666666666664E-2"/>
        </c:manualLayout>
      </c:layout>
      <c:overlay val="0"/>
      <c:spPr>
        <a:noFill/>
        <a:ln>
          <a:noFill/>
        </a:ln>
        <a:effectLst/>
      </c:spPr>
      <c:txPr>
        <a:bodyPr rot="0" spcFirstLastPara="1" vertOverflow="ellipsis" vert="horz" wrap="square" anchor="ctr" anchorCtr="1"/>
        <a:lstStyle/>
        <a:p>
          <a:pPr>
            <a:defRPr sz="14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A1D1-4C2E-BEF0-4FB08255DD75}"/>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1D1-4C2E-BEF0-4FB08255DD75}"/>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A1D1-4C2E-BEF0-4FB08255DD75}"/>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A1D1-4C2E-BEF0-4FB08255DD75}"/>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A1D1-4C2E-BEF0-4FB08255DD75}"/>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A1D1-4C2E-BEF0-4FB08255DD75}"/>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D-A1D1-4C2E-BEF0-4FB08255DD75}"/>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F-A1D1-4C2E-BEF0-4FB08255DD75}"/>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1-A1D1-4C2E-BEF0-4FB08255DD75}"/>
              </c:ext>
            </c:extLst>
          </c:dPt>
          <c:dPt>
            <c:idx val="9"/>
            <c:bubble3D val="0"/>
            <c:spPr>
              <a:solidFill>
                <a:schemeClr val="accent4">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3-A1D1-4C2E-BEF0-4FB08255DD75}"/>
              </c:ext>
            </c:extLst>
          </c:dPt>
          <c:dLbls>
            <c:dLbl>
              <c:idx val="0"/>
              <c:tx>
                <c:rich>
                  <a:bodyPr rot="0" spcFirstLastPara="1" vertOverflow="overflow" horzOverflow="overflow" vert="horz" wrap="non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en-US"/>
                  </a:p>
                </c:rich>
              </c:tx>
              <c:spPr>
                <a:noFill/>
                <a:ln>
                  <a:noFill/>
                </a:ln>
                <a:effectLst/>
              </c:spPr>
              <c:txPr>
                <a:bodyPr rot="0" spcFirstLastPara="1" vertOverflow="overflow" horzOverflow="overflow" vert="horz" wrap="non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en-US"/>
                </a:p>
              </c:txPr>
              <c:dLblPos val="bestFit"/>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showDataLabelsRange val="0"/>
                </c:ext>
                <c:ext xmlns:c16="http://schemas.microsoft.com/office/drawing/2014/chart" uri="{C3380CC4-5D6E-409C-BE32-E72D297353CC}">
                  <c16:uniqueId val="{00000001-A1D1-4C2E-BEF0-4FB08255DD75}"/>
                </c:ext>
              </c:extLst>
            </c:dLbl>
            <c:dLbl>
              <c:idx val="1"/>
              <c:tx>
                <c:rich>
                  <a:bodyPr rot="0" spcFirstLastPara="1" vertOverflow="overflow" horzOverflow="overflow" vert="horz" wrap="non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en-US"/>
                  </a:p>
                </c:rich>
              </c:tx>
              <c:spPr>
                <a:noFill/>
                <a:ln>
                  <a:noFill/>
                </a:ln>
                <a:effectLst/>
              </c:spPr>
              <c:txPr>
                <a:bodyPr rot="0" spcFirstLastPara="1" vertOverflow="overflow" horzOverflow="overflow" vert="horz" wrap="non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en-US"/>
                </a:p>
              </c:txPr>
              <c:dLblPos val="bestFit"/>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showDataLabelsRange val="0"/>
                </c:ext>
                <c:ext xmlns:c16="http://schemas.microsoft.com/office/drawing/2014/chart" uri="{C3380CC4-5D6E-409C-BE32-E72D297353CC}">
                  <c16:uniqueId val="{00000003-A1D1-4C2E-BEF0-4FB08255DD75}"/>
                </c:ext>
              </c:extLst>
            </c:dLbl>
            <c:dLbl>
              <c:idx val="2"/>
              <c:tx>
                <c:rich>
                  <a:bodyPr rot="0" spcFirstLastPara="1" vertOverflow="overflow" horzOverflow="overflow" vert="horz" wrap="non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en-US"/>
                  </a:p>
                </c:rich>
              </c:tx>
              <c:spPr>
                <a:noFill/>
                <a:ln>
                  <a:noFill/>
                </a:ln>
                <a:effectLst/>
              </c:spPr>
              <c:txPr>
                <a:bodyPr rot="0" spcFirstLastPara="1" vertOverflow="overflow" horzOverflow="overflow" vert="horz" wrap="non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en-US"/>
                </a:p>
              </c:txPr>
              <c:dLblPos val="bestFit"/>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showDataLabelsRange val="0"/>
                </c:ext>
                <c:ext xmlns:c16="http://schemas.microsoft.com/office/drawing/2014/chart" uri="{C3380CC4-5D6E-409C-BE32-E72D297353CC}">
                  <c16:uniqueId val="{00000005-A1D1-4C2E-BEF0-4FB08255DD75}"/>
                </c:ext>
              </c:extLst>
            </c:dLbl>
            <c:dLbl>
              <c:idx val="3"/>
              <c:tx>
                <c:rich>
                  <a:bodyPr rot="0" spcFirstLastPara="1" vertOverflow="overflow" horzOverflow="overflow" vert="horz" wrap="non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en-US"/>
                  </a:p>
                </c:rich>
              </c:tx>
              <c:spPr>
                <a:noFill/>
                <a:ln>
                  <a:noFill/>
                </a:ln>
                <a:effectLst/>
              </c:spPr>
              <c:txPr>
                <a:bodyPr rot="0" spcFirstLastPara="1" vertOverflow="overflow" horzOverflow="overflow" vert="horz" wrap="non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en-US"/>
                </a:p>
              </c:txPr>
              <c:dLblPos val="bestFit"/>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showDataLabelsRange val="0"/>
                </c:ext>
                <c:ext xmlns:c16="http://schemas.microsoft.com/office/drawing/2014/chart" uri="{C3380CC4-5D6E-409C-BE32-E72D297353CC}">
                  <c16:uniqueId val="{00000007-A1D1-4C2E-BEF0-4FB08255DD75}"/>
                </c:ext>
              </c:extLst>
            </c:dLbl>
            <c:dLbl>
              <c:idx val="4"/>
              <c:tx>
                <c:rich>
                  <a:bodyPr rot="0" spcFirstLastPara="1" vertOverflow="overflow" horzOverflow="overflow" vert="horz" wrap="non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en-US"/>
                  </a:p>
                </c:rich>
              </c:tx>
              <c:spPr>
                <a:noFill/>
                <a:ln>
                  <a:noFill/>
                </a:ln>
                <a:effectLst/>
              </c:spPr>
              <c:txPr>
                <a:bodyPr rot="0" spcFirstLastPara="1" vertOverflow="overflow" horzOverflow="overflow" vert="horz" wrap="non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en-US"/>
                </a:p>
              </c:txPr>
              <c:dLblPos val="bestFit"/>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showDataLabelsRange val="0"/>
                </c:ext>
                <c:ext xmlns:c16="http://schemas.microsoft.com/office/drawing/2014/chart" uri="{C3380CC4-5D6E-409C-BE32-E72D297353CC}">
                  <c16:uniqueId val="{00000009-A1D1-4C2E-BEF0-4FB08255DD75}"/>
                </c:ext>
              </c:extLst>
            </c:dLbl>
            <c:dLbl>
              <c:idx val="5"/>
              <c:tx>
                <c:rich>
                  <a:bodyPr rot="0" spcFirstLastPara="1" vertOverflow="overflow" horzOverflow="overflow" vert="horz" wrap="non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en-US"/>
                  </a:p>
                </c:rich>
              </c:tx>
              <c:spPr>
                <a:noFill/>
                <a:ln>
                  <a:noFill/>
                </a:ln>
                <a:effectLst/>
              </c:spPr>
              <c:txPr>
                <a:bodyPr rot="0" spcFirstLastPara="1" vertOverflow="overflow" horzOverflow="overflow" vert="horz" wrap="non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en-US"/>
                </a:p>
              </c:txPr>
              <c:dLblPos val="bestFit"/>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showDataLabelsRange val="0"/>
                </c:ext>
                <c:ext xmlns:c16="http://schemas.microsoft.com/office/drawing/2014/chart" uri="{C3380CC4-5D6E-409C-BE32-E72D297353CC}">
                  <c16:uniqueId val="{0000000B-A1D1-4C2E-BEF0-4FB08255DD75}"/>
                </c:ext>
              </c:extLst>
            </c:dLbl>
            <c:dLbl>
              <c:idx val="6"/>
              <c:tx>
                <c:rich>
                  <a:bodyPr rot="0" spcFirstLastPara="1" vertOverflow="overflow" horzOverflow="overflow" vert="horz" wrap="non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en-US"/>
                  </a:p>
                </c:rich>
              </c:tx>
              <c:spPr>
                <a:noFill/>
                <a:ln>
                  <a:noFill/>
                </a:ln>
                <a:effectLst/>
              </c:spPr>
              <c:txPr>
                <a:bodyPr rot="0" spcFirstLastPara="1" vertOverflow="overflow" horzOverflow="overflow" vert="horz" wrap="non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en-US"/>
                </a:p>
              </c:txPr>
              <c:dLblPos val="bestFit"/>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showDataLabelsRange val="0"/>
                </c:ext>
                <c:ext xmlns:c16="http://schemas.microsoft.com/office/drawing/2014/chart" uri="{C3380CC4-5D6E-409C-BE32-E72D297353CC}">
                  <c16:uniqueId val="{0000000D-A1D1-4C2E-BEF0-4FB08255DD75}"/>
                </c:ext>
              </c:extLst>
            </c:dLbl>
            <c:dLbl>
              <c:idx val="7"/>
              <c:tx>
                <c:rich>
                  <a:bodyPr rot="0" spcFirstLastPara="1" vertOverflow="overflow" horzOverflow="overflow" vert="horz" wrap="non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en-US"/>
                  </a:p>
                </c:rich>
              </c:tx>
              <c:spPr>
                <a:noFill/>
                <a:ln>
                  <a:noFill/>
                </a:ln>
                <a:effectLst/>
              </c:spPr>
              <c:txPr>
                <a:bodyPr rot="0" spcFirstLastPara="1" vertOverflow="overflow" horzOverflow="overflow" vert="horz" wrap="non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en-US"/>
                </a:p>
              </c:txPr>
              <c:dLblPos val="bestFit"/>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showDataLabelsRange val="0"/>
                </c:ext>
                <c:ext xmlns:c16="http://schemas.microsoft.com/office/drawing/2014/chart" uri="{C3380CC4-5D6E-409C-BE32-E72D297353CC}">
                  <c16:uniqueId val="{0000000F-A1D1-4C2E-BEF0-4FB08255DD75}"/>
                </c:ext>
              </c:extLst>
            </c:dLbl>
            <c:dLbl>
              <c:idx val="8"/>
              <c:tx>
                <c:rich>
                  <a:bodyPr rot="0" spcFirstLastPara="1" vertOverflow="overflow" horzOverflow="overflow" vert="horz" wrap="non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en-US"/>
                  </a:p>
                </c:rich>
              </c:tx>
              <c:spPr>
                <a:noFill/>
                <a:ln>
                  <a:noFill/>
                </a:ln>
                <a:effectLst/>
              </c:spPr>
              <c:txPr>
                <a:bodyPr rot="0" spcFirstLastPara="1" vertOverflow="overflow" horzOverflow="overflow" vert="horz" wrap="non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en-US"/>
                </a:p>
              </c:txPr>
              <c:dLblPos val="bestFit"/>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showDataLabelsRange val="0"/>
                </c:ext>
                <c:ext xmlns:c16="http://schemas.microsoft.com/office/drawing/2014/chart" uri="{C3380CC4-5D6E-409C-BE32-E72D297353CC}">
                  <c16:uniqueId val="{00000011-A1D1-4C2E-BEF0-4FB08255DD75}"/>
                </c:ext>
              </c:extLst>
            </c:dLbl>
            <c:dLbl>
              <c:idx val="9"/>
              <c:tx>
                <c:rich>
                  <a:bodyPr rot="0" spcFirstLastPara="1" vertOverflow="overflow" horzOverflow="overflow" vert="horz" wrap="non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en-US"/>
                  </a:p>
                </c:rich>
              </c:tx>
              <c:spPr>
                <a:noFill/>
                <a:ln>
                  <a:noFill/>
                </a:ln>
                <a:effectLst/>
              </c:spPr>
              <c:txPr>
                <a:bodyPr rot="0" spcFirstLastPara="1" vertOverflow="overflow" horzOverflow="overflow" vert="horz" wrap="non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en-US"/>
                </a:p>
              </c:txPr>
              <c:dLblPos val="bestFit"/>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showDataLabelsRange val="0"/>
                </c:ext>
                <c:ext xmlns:c16="http://schemas.microsoft.com/office/drawing/2014/chart" uri="{C3380CC4-5D6E-409C-BE32-E72D297353CC}">
                  <c16:uniqueId val="{00000013-A1D1-4C2E-BEF0-4FB08255DD75}"/>
                </c:ext>
              </c:extLst>
            </c:dLbl>
            <c:spPr>
              <a:noFill/>
              <a:ln>
                <a:noFill/>
              </a:ln>
              <a:effectLst/>
            </c:spPr>
            <c:txPr>
              <a:bodyPr rot="0" spcFirstLastPara="1" vertOverflow="overflow" horzOverflow="overflow" vert="horz" wrap="non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rect">
                    <a:avLst/>
                  </a:prstGeom>
                  <a:noFill/>
                  <a:ln>
                    <a:noFill/>
                  </a:ln>
                </c15:spPr>
                <c15:showDataLabelsRange val="1"/>
              </c:ext>
            </c:extLst>
          </c:dLbls>
          <c:val>
            <c:numRef>
              <c:f>'Final Income and Cash Flows'!$E$101:$E$110</c:f>
              <c:numCache>
                <c:formatCode>General</c:formatCode>
                <c:ptCount val="10"/>
                <c:pt idx="0">
                  <c:v>#N/A</c:v>
                </c:pt>
                <c:pt idx="1">
                  <c:v>#N/A</c:v>
                </c:pt>
                <c:pt idx="2">
                  <c:v>#N/A</c:v>
                </c:pt>
                <c:pt idx="3">
                  <c:v>#N/A</c:v>
                </c:pt>
                <c:pt idx="4">
                  <c:v>#N/A</c:v>
                </c:pt>
                <c:pt idx="5">
                  <c:v>#N/A</c:v>
                </c:pt>
                <c:pt idx="6">
                  <c:v>#N/A</c:v>
                </c:pt>
                <c:pt idx="7">
                  <c:v>#N/A</c:v>
                </c:pt>
                <c:pt idx="8">
                  <c:v>#N/A</c:v>
                </c:pt>
                <c:pt idx="9">
                  <c:v>#N/A</c:v>
                </c:pt>
              </c:numCache>
            </c:numRef>
          </c:val>
          <c:extLst>
            <c:ext xmlns:c15="http://schemas.microsoft.com/office/drawing/2012/chart" uri="{02D57815-91ED-43cb-92C2-25804820EDAC}">
              <c15:filteredCategoryTitle>
                <c15:cat>
                  <c:multiLvlStrRef>
                    <c:extLst>
                      <c:ext uri="{02D57815-91ED-43cb-92C2-25804820EDAC}">
                        <c15:formulaRef>
                          <c15:sqref>'Final Income and Cash Flows'!$M$101:$M$110</c15:sqref>
                        </c15:formulaRef>
                      </c:ext>
                    </c:extLst>
                  </c:multiLvlStrRef>
                </c15:cat>
              </c15:filteredCategoryTitle>
            </c:ext>
            <c:ext xmlns:c16="http://schemas.microsoft.com/office/drawing/2014/chart" uri="{C3380CC4-5D6E-409C-BE32-E72D297353CC}">
              <c16:uniqueId val="{00000014-A1D1-4C2E-BEF0-4FB08255DD75}"/>
            </c:ext>
          </c:extLst>
        </c:ser>
        <c:dLbls>
          <c:dLblPos val="bestFit"/>
          <c:showLegendKey val="0"/>
          <c:showVal val="1"/>
          <c:showCatName val="0"/>
          <c:showSerName val="0"/>
          <c:showPercent val="0"/>
          <c:showBubbleSize val="0"/>
          <c:showLeaderLines val="1"/>
        </c:dLbls>
        <c:firstSliceAng val="117"/>
      </c:pieChart>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rot="60000"/>
    <a:lstStyle/>
    <a:p>
      <a:pPr>
        <a:defRPr/>
      </a:pPr>
      <a:endParaRPr lang="en-US"/>
    </a:p>
  </c:txPr>
  <c:printSettings>
    <c:headerFooter/>
    <c:pageMargins b="0.75" l="0.7" r="0.7" t="0.75" header="0.3" footer="0.3"/>
    <c:pageSetup orientation="portrait"/>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'Final Income and Cash Flows'!$P$34</c:f>
          <c:strCache>
            <c:ptCount val="1"/>
            <c:pt idx="0">
              <c:v>Direct Ag Expenses 1 Projected</c:v>
            </c:pt>
          </c:strCache>
        </c:strRef>
      </c:tx>
      <c:layout>
        <c:manualLayout>
          <c:xMode val="edge"/>
          <c:yMode val="edge"/>
          <c:x val="1.7108602454334414E-2"/>
          <c:y val="2.615062761506276E-2"/>
        </c:manualLayout>
      </c:layout>
      <c:overlay val="0"/>
      <c:spPr>
        <a:noFill/>
        <a:ln>
          <a:noFill/>
        </a:ln>
        <a:effectLst/>
      </c:spPr>
      <c:txPr>
        <a:bodyPr rot="0" spcFirstLastPara="1" vertOverflow="ellipsis" vert="horz" wrap="square" anchor="ctr" anchorCtr="1"/>
        <a:lstStyle/>
        <a:p>
          <a:pPr algn="l">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'Final Income and Cash Flows'!$M$66</c:f>
              <c:strCache>
                <c:ptCount val="1"/>
                <c:pt idx="0">
                  <c:v>Variable Ag Expenses - 0</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251D-47EC-AF30-D097BBF20A3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251D-47EC-AF30-D097BBF20A3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251D-47EC-AF30-D097BBF20A37}"/>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251D-47EC-AF30-D097BBF20A37}"/>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251D-47EC-AF30-D097BBF20A37}"/>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6-251D-47EC-AF30-D097BBF20A37}"/>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251D-47EC-AF30-D097BBF20A37}"/>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8-251D-47EC-AF30-D097BBF20A37}"/>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251D-47EC-AF30-D097BBF20A37}"/>
              </c:ext>
            </c:extLst>
          </c:dPt>
          <c:dPt>
            <c:idx val="9"/>
            <c:bubble3D val="0"/>
            <c:spPr>
              <a:solidFill>
                <a:schemeClr val="accent4">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A-251D-47EC-AF30-D097BBF20A37}"/>
              </c:ext>
            </c:extLst>
          </c:dPt>
          <c:dPt>
            <c:idx val="10"/>
            <c:bubble3D val="0"/>
            <c:spPr>
              <a:solidFill>
                <a:schemeClr val="accent5">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251D-47EC-AF30-D097BBF20A37}"/>
              </c:ext>
            </c:extLst>
          </c:dPt>
          <c:dPt>
            <c:idx val="11"/>
            <c:bubble3D val="0"/>
            <c:spPr>
              <a:solidFill>
                <a:schemeClr val="accent6">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C-251D-47EC-AF30-D097BBF20A37}"/>
              </c:ext>
            </c:extLst>
          </c:dPt>
          <c:dPt>
            <c:idx val="12"/>
            <c:bubble3D val="0"/>
            <c:spPr>
              <a:solidFill>
                <a:schemeClr val="accent1">
                  <a:lumMod val="80000"/>
                  <a:lumOff val="2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D-251D-47EC-AF30-D097BBF20A37}"/>
              </c:ext>
            </c:extLst>
          </c:dPt>
          <c:dPt>
            <c:idx val="13"/>
            <c:bubble3D val="0"/>
            <c:spPr>
              <a:solidFill>
                <a:schemeClr val="accent2">
                  <a:lumMod val="80000"/>
                  <a:lumOff val="2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E-251D-47EC-AF30-D097BBF20A37}"/>
              </c:ext>
            </c:extLst>
          </c:dPt>
          <c:dPt>
            <c:idx val="14"/>
            <c:bubble3D val="0"/>
            <c:spPr>
              <a:solidFill>
                <a:schemeClr val="accent3">
                  <a:lumMod val="80000"/>
                  <a:lumOff val="2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F-251D-47EC-AF30-D097BBF20A37}"/>
              </c:ext>
            </c:extLst>
          </c:dPt>
          <c:dPt>
            <c:idx val="15"/>
            <c:bubble3D val="0"/>
            <c:spPr>
              <a:solidFill>
                <a:schemeClr val="accent4">
                  <a:lumMod val="80000"/>
                  <a:lumOff val="2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0-251D-47EC-AF30-D097BBF20A37}"/>
              </c:ext>
            </c:extLst>
          </c:dPt>
          <c:dPt>
            <c:idx val="16"/>
            <c:bubble3D val="0"/>
            <c:spPr>
              <a:solidFill>
                <a:schemeClr val="accent5">
                  <a:lumMod val="80000"/>
                  <a:lumOff val="2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1-251D-47EC-AF30-D097BBF20A37}"/>
              </c:ext>
            </c:extLst>
          </c:dPt>
          <c:dPt>
            <c:idx val="17"/>
            <c:bubble3D val="0"/>
            <c:spPr>
              <a:solidFill>
                <a:schemeClr val="accent6">
                  <a:lumMod val="80000"/>
                  <a:lumOff val="2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2-251D-47EC-AF30-D097BBF20A37}"/>
              </c:ext>
            </c:extLst>
          </c:dPt>
          <c:dPt>
            <c:idx val="18"/>
            <c:bubble3D val="0"/>
            <c:spPr>
              <a:solidFill>
                <a:schemeClr val="accent1">
                  <a:lumMod val="8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3-251D-47EC-AF30-D097BBF20A37}"/>
              </c:ext>
            </c:extLst>
          </c:dPt>
          <c:dPt>
            <c:idx val="19"/>
            <c:bubble3D val="0"/>
            <c:spPr>
              <a:solidFill>
                <a:schemeClr val="accent2">
                  <a:lumMod val="8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4-251D-47EC-AF30-D097BBF20A37}"/>
              </c:ext>
            </c:extLst>
          </c:dPt>
          <c:dPt>
            <c:idx val="20"/>
            <c:bubble3D val="0"/>
            <c:spPr>
              <a:solidFill>
                <a:schemeClr val="accent3">
                  <a:lumMod val="8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5-251D-47EC-AF30-D097BBF20A37}"/>
              </c:ext>
            </c:extLst>
          </c:dPt>
          <c:dPt>
            <c:idx val="21"/>
            <c:bubble3D val="0"/>
            <c:spPr>
              <a:solidFill>
                <a:schemeClr val="accent4">
                  <a:lumMod val="8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6-251D-47EC-AF30-D097BBF20A37}"/>
              </c:ext>
            </c:extLst>
          </c:dPt>
          <c:dPt>
            <c:idx val="22"/>
            <c:bubble3D val="0"/>
            <c:spPr>
              <a:solidFill>
                <a:schemeClr val="accent5">
                  <a:lumMod val="8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7-251D-47EC-AF30-D097BBF20A37}"/>
              </c:ext>
            </c:extLst>
          </c:dPt>
          <c:dPt>
            <c:idx val="23"/>
            <c:bubble3D val="0"/>
            <c:spPr>
              <a:solidFill>
                <a:schemeClr val="accent6">
                  <a:lumMod val="8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8-251D-47EC-AF30-D097BBF20A37}"/>
              </c:ext>
            </c:extLst>
          </c:dPt>
          <c:dPt>
            <c:idx val="24"/>
            <c:bubble3D val="0"/>
            <c:spPr>
              <a:solidFill>
                <a:schemeClr val="accent1">
                  <a:lumMod val="60000"/>
                  <a:lumOff val="4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9-251D-47EC-AF30-D097BBF20A37}"/>
              </c:ext>
            </c:extLst>
          </c:dPt>
          <c:dPt>
            <c:idx val="25"/>
            <c:bubble3D val="0"/>
            <c:spPr>
              <a:solidFill>
                <a:schemeClr val="accent2">
                  <a:lumMod val="60000"/>
                  <a:lumOff val="4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A-251D-47EC-AF30-D097BBF20A37}"/>
              </c:ext>
            </c:extLst>
          </c:dPt>
          <c:dPt>
            <c:idx val="26"/>
            <c:bubble3D val="0"/>
            <c:spPr>
              <a:solidFill>
                <a:schemeClr val="accent3">
                  <a:lumMod val="60000"/>
                  <a:lumOff val="4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B-251D-47EC-AF30-D097BBF20A37}"/>
              </c:ext>
            </c:extLst>
          </c:dPt>
          <c:dPt>
            <c:idx val="27"/>
            <c:bubble3D val="0"/>
            <c:spPr>
              <a:solidFill>
                <a:schemeClr val="accent4">
                  <a:lumMod val="60000"/>
                  <a:lumOff val="4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C-251D-47EC-AF30-D097BBF20A37}"/>
              </c:ext>
            </c:extLst>
          </c:dPt>
          <c:dLbls>
            <c:dLbl>
              <c:idx val="0"/>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1-251D-47EC-AF30-D097BBF20A37}"/>
                </c:ext>
              </c:extLst>
            </c:dLbl>
            <c:dLbl>
              <c:idx val="1"/>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2-251D-47EC-AF30-D097BBF20A37}"/>
                </c:ext>
              </c:extLst>
            </c:dLbl>
            <c:dLbl>
              <c:idx val="2"/>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3-251D-47EC-AF30-D097BBF20A37}"/>
                </c:ext>
              </c:extLst>
            </c:dLbl>
            <c:dLbl>
              <c:idx val="3"/>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4-251D-47EC-AF30-D097BBF20A37}"/>
                </c:ext>
              </c:extLst>
            </c:dLbl>
            <c:dLbl>
              <c:idx val="4"/>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5-251D-47EC-AF30-D097BBF20A37}"/>
                </c:ext>
              </c:extLst>
            </c:dLbl>
            <c:dLbl>
              <c:idx val="5"/>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6-251D-47EC-AF30-D097BBF20A37}"/>
                </c:ext>
              </c:extLst>
            </c:dLbl>
            <c:dLbl>
              <c:idx val="6"/>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7-251D-47EC-AF30-D097BBF20A37}"/>
                </c:ext>
              </c:extLst>
            </c:dLbl>
            <c:dLbl>
              <c:idx val="7"/>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8-251D-47EC-AF30-D097BBF20A37}"/>
                </c:ext>
              </c:extLst>
            </c:dLbl>
            <c:dLbl>
              <c:idx val="8"/>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9-251D-47EC-AF30-D097BBF20A37}"/>
                </c:ext>
              </c:extLst>
            </c:dLbl>
            <c:dLbl>
              <c:idx val="9"/>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A-251D-47EC-AF30-D097BBF20A37}"/>
                </c:ext>
              </c:extLst>
            </c:dLbl>
            <c:dLbl>
              <c:idx val="10"/>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B-251D-47EC-AF30-D097BBF20A37}"/>
                </c:ext>
              </c:extLst>
            </c:dLbl>
            <c:dLbl>
              <c:idx val="11"/>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C-251D-47EC-AF30-D097BBF20A37}"/>
                </c:ext>
              </c:extLst>
            </c:dLbl>
            <c:dLbl>
              <c:idx val="12"/>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D-251D-47EC-AF30-D097BBF20A37}"/>
                </c:ext>
              </c:extLst>
            </c:dLbl>
            <c:dLbl>
              <c:idx val="13"/>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E-251D-47EC-AF30-D097BBF20A37}"/>
                </c:ext>
              </c:extLst>
            </c:dLbl>
            <c:dLbl>
              <c:idx val="14"/>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F-251D-47EC-AF30-D097BBF20A37}"/>
                </c:ext>
              </c:extLst>
            </c:dLbl>
            <c:dLbl>
              <c:idx val="15"/>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10-251D-47EC-AF30-D097BBF20A37}"/>
                </c:ext>
              </c:extLst>
            </c:dLbl>
            <c:dLbl>
              <c:idx val="16"/>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11-251D-47EC-AF30-D097BBF20A37}"/>
                </c:ext>
              </c:extLst>
            </c:dLbl>
            <c:dLbl>
              <c:idx val="17"/>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12-251D-47EC-AF30-D097BBF20A37}"/>
                </c:ext>
              </c:extLst>
            </c:dLbl>
            <c:dLbl>
              <c:idx val="18"/>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13-251D-47EC-AF30-D097BBF20A37}"/>
                </c:ext>
              </c:extLst>
            </c:dLbl>
            <c:dLbl>
              <c:idx val="19"/>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14-251D-47EC-AF30-D097BBF20A37}"/>
                </c:ext>
              </c:extLst>
            </c:dLbl>
            <c:dLbl>
              <c:idx val="20"/>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15-251D-47EC-AF30-D097BBF20A37}"/>
                </c:ext>
              </c:extLst>
            </c:dLbl>
            <c:dLbl>
              <c:idx val="21"/>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16-251D-47EC-AF30-D097BBF20A37}"/>
                </c:ext>
              </c:extLst>
            </c:dLbl>
            <c:dLbl>
              <c:idx val="22"/>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17-251D-47EC-AF30-D097BBF20A37}"/>
                </c:ext>
              </c:extLst>
            </c:dLbl>
            <c:dLbl>
              <c:idx val="23"/>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18-251D-47EC-AF30-D097BBF20A37}"/>
                </c:ext>
              </c:extLst>
            </c:dLbl>
            <c:dLbl>
              <c:idx val="24"/>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19-251D-47EC-AF30-D097BBF20A37}"/>
                </c:ext>
              </c:extLst>
            </c:dLbl>
            <c:dLbl>
              <c:idx val="25"/>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1A-251D-47EC-AF30-D097BBF20A37}"/>
                </c:ext>
              </c:extLst>
            </c:dLbl>
            <c:dLbl>
              <c:idx val="26"/>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1B-251D-47EC-AF30-D097BBF20A37}"/>
                </c:ext>
              </c:extLst>
            </c:dLbl>
            <c:dLbl>
              <c:idx val="27"/>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1C-251D-47EC-AF30-D097BBF20A37}"/>
                </c:ext>
              </c:extLst>
            </c:dLbl>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numRef>
              <c:f>'Final Income and Cash Flows'!$M$33:$M$59</c:f>
              <c:numCache>
                <c:formatCode>General</c:formatCode>
                <c:ptCount val="2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numCache>
            </c:numRef>
          </c:cat>
          <c:val>
            <c:numRef>
              <c:f>'Final Income and Cash Flows'!$L$33:$L$59</c:f>
              <c:numCache>
                <c:formatCode>General</c:formatCode>
                <c:ptCount val="2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numCache>
            </c:numRef>
          </c:val>
          <c:extLst>
            <c:ext xmlns:c16="http://schemas.microsoft.com/office/drawing/2014/chart" uri="{C3380CC4-5D6E-409C-BE32-E72D297353CC}">
              <c16:uniqueId val="{00000000-251D-47EC-AF30-D097BBF20A37}"/>
            </c:ext>
          </c:extLst>
        </c:ser>
        <c:dLbls>
          <c:dLblPos val="outEnd"/>
          <c:showLegendKey val="0"/>
          <c:showVal val="0"/>
          <c:showCatName val="1"/>
          <c:showSerName val="0"/>
          <c:showPercent val="0"/>
          <c:showBubbleSize val="0"/>
          <c:showLeaderLines val="1"/>
        </c:dLbls>
        <c:firstSliceAng val="159"/>
      </c:pieChart>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rot="60000"/>
    <a:lstStyle/>
    <a:p>
      <a:pPr>
        <a:defRPr/>
      </a:pPr>
      <a:endParaRPr lang="en-US"/>
    </a:p>
  </c:txPr>
  <c:printSettings>
    <c:headerFooter/>
    <c:pageMargins b="0.75" l="0.7" r="0.7" t="0.75" header="0.3" footer="0.3"/>
    <c:pageSetup orientation="landscape" horizontalDpi="1200" verticalDpi="1200"/>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tx>
            <c:strRef>
              <c:f>'Financial Scorecard'!$R$12</c:f>
              <c:strCache>
                <c:ptCount val="1"/>
                <c:pt idx="0">
                  <c:v>Spectrum</c:v>
                </c:pt>
              </c:strCache>
            </c:strRef>
          </c:tx>
          <c:spPr>
            <a:gradFill flip="none" rotWithShape="1">
              <a:gsLst>
                <a:gs pos="32000">
                  <a:srgbClr val="00B050"/>
                </a:gs>
                <a:gs pos="66000">
                  <a:srgbClr val="FFFF00"/>
                </a:gs>
                <a:gs pos="33000">
                  <a:srgbClr val="FFFF00"/>
                </a:gs>
                <a:gs pos="67000">
                  <a:srgbClr val="FF0000"/>
                </a:gs>
              </a:gsLst>
              <a:lin ang="10800000" scaled="0"/>
              <a:tileRect/>
            </a:gradFill>
            <a:ln>
              <a:noFill/>
            </a:ln>
            <a:effectLst/>
          </c:spPr>
          <c:invertIfNegative val="0"/>
          <c:cat>
            <c:strRef>
              <c:extLst>
                <c:ext xmlns:c15="http://schemas.microsoft.com/office/drawing/2012/chart" uri="{02D57815-91ED-43cb-92C2-25804820EDAC}">
                  <c15:fullRef>
                    <c15:sqref>'Financial Scorecard'!$P$13:$P$15</c15:sqref>
                  </c15:fullRef>
                </c:ext>
              </c:extLst>
              <c:f>'Financial Scorecard'!$P$13</c:f>
              <c:strCache>
                <c:ptCount val="1"/>
                <c:pt idx="0">
                  <c:v>Current Ratio</c:v>
                </c:pt>
              </c:strCache>
            </c:strRef>
          </c:cat>
          <c:val>
            <c:numRef>
              <c:extLst>
                <c:ext xmlns:c15="http://schemas.microsoft.com/office/drawing/2012/chart" uri="{02D57815-91ED-43cb-92C2-25804820EDAC}">
                  <c15:fullRef>
                    <c15:sqref>'Financial Scorecard'!$R$13:$R$15</c15:sqref>
                  </c15:fullRef>
                </c:ext>
              </c:extLst>
              <c:f>'Financial Scorecard'!$R$13</c:f>
              <c:numCache>
                <c:formatCode>General</c:formatCode>
                <c:ptCount val="1"/>
                <c:pt idx="0">
                  <c:v>2.7</c:v>
                </c:pt>
              </c:numCache>
            </c:numRef>
          </c:val>
          <c:extLst>
            <c:ext xmlns:c16="http://schemas.microsoft.com/office/drawing/2014/chart" uri="{C3380CC4-5D6E-409C-BE32-E72D297353CC}">
              <c16:uniqueId val="{00000000-9B6A-484A-8CB8-97C522771280}"/>
            </c:ext>
          </c:extLst>
        </c:ser>
        <c:dLbls>
          <c:showLegendKey val="0"/>
          <c:showVal val="0"/>
          <c:showCatName val="0"/>
          <c:showSerName val="0"/>
          <c:showPercent val="0"/>
          <c:showBubbleSize val="0"/>
        </c:dLbls>
        <c:gapWidth val="150"/>
        <c:overlap val="100"/>
        <c:axId val="521412464"/>
        <c:axId val="521414032"/>
      </c:barChart>
      <c:barChart>
        <c:barDir val="bar"/>
        <c:grouping val="stacked"/>
        <c:varyColors val="0"/>
        <c:ser>
          <c:idx val="2"/>
          <c:order val="1"/>
          <c:tx>
            <c:strRef>
              <c:f>'Financial Scorecard'!$S$12</c:f>
              <c:strCache>
                <c:ptCount val="1"/>
                <c:pt idx="0">
                  <c:v>Slider Fill</c:v>
                </c:pt>
              </c:strCache>
            </c:strRef>
          </c:tx>
          <c:spPr>
            <a:noFill/>
            <a:ln>
              <a:noFill/>
            </a:ln>
            <a:effectLst/>
          </c:spPr>
          <c:invertIfNegative val="0"/>
          <c:cat>
            <c:strRef>
              <c:extLst>
                <c:ext xmlns:c15="http://schemas.microsoft.com/office/drawing/2012/chart" uri="{02D57815-91ED-43cb-92C2-25804820EDAC}">
                  <c15:fullRef>
                    <c15:sqref>'Financial Scorecard'!$P$13:$P$15</c15:sqref>
                  </c15:fullRef>
                </c:ext>
              </c:extLst>
              <c:f>'Financial Scorecard'!$P$13</c:f>
              <c:strCache>
                <c:ptCount val="1"/>
                <c:pt idx="0">
                  <c:v>Current Ratio</c:v>
                </c:pt>
              </c:strCache>
            </c:strRef>
          </c:cat>
          <c:val>
            <c:numRef>
              <c:extLst>
                <c:ext xmlns:c15="http://schemas.microsoft.com/office/drawing/2012/chart" uri="{02D57815-91ED-43cb-92C2-25804820EDAC}">
                  <c15:fullRef>
                    <c15:sqref>'Financial Scorecard'!$S$13:$S$15</c15:sqref>
                  </c15:fullRef>
                </c:ext>
              </c:extLst>
              <c:f>'Financial Scorecard'!$S$13</c:f>
              <c:numCache>
                <c:formatCode>General</c:formatCode>
                <c:ptCount val="1"/>
                <c:pt idx="0">
                  <c:v>0</c:v>
                </c:pt>
              </c:numCache>
            </c:numRef>
          </c:val>
          <c:extLst>
            <c:ext xmlns:c16="http://schemas.microsoft.com/office/drawing/2014/chart" uri="{C3380CC4-5D6E-409C-BE32-E72D297353CC}">
              <c16:uniqueId val="{00000001-9B6A-484A-8CB8-97C522771280}"/>
            </c:ext>
          </c:extLst>
        </c:ser>
        <c:ser>
          <c:idx val="0"/>
          <c:order val="2"/>
          <c:tx>
            <c:strRef>
              <c:f>'Financial Scorecard'!$T$12</c:f>
              <c:strCache>
                <c:ptCount val="1"/>
                <c:pt idx="0">
                  <c:v>Slider Size</c:v>
                </c:pt>
              </c:strCache>
            </c:strRef>
          </c:tx>
          <c:spPr>
            <a:solidFill>
              <a:schemeClr val="bg1">
                <a:lumMod val="85000"/>
              </a:schemeClr>
            </a:solidFill>
            <a:ln>
              <a:solidFill>
                <a:schemeClr val="tx1"/>
              </a:solidFill>
            </a:ln>
            <a:effectLst/>
          </c:spPr>
          <c:invertIfNegative val="0"/>
          <c:dLbls>
            <c:dLbl>
              <c:idx val="0"/>
              <c:layout>
                <c:manualLayout>
                  <c:x val="-1.0185067526415994E-16"/>
                  <c:y val="0.35331308223025321"/>
                </c:manualLayout>
              </c:layout>
              <c:tx>
                <c:strRef>
                  <c:f>'Financial Scorecard'!$G$13</c:f>
                  <c:strCache>
                    <c:ptCount val="1"/>
                    <c:pt idx="0">
                      <c:v>0:1</c:v>
                    </c:pt>
                  </c:strCache>
                </c:strRef>
              </c:tx>
              <c:spPr>
                <a:noFill/>
                <a:ln>
                  <a:noFill/>
                </a:ln>
                <a:effectLst/>
              </c:spPr>
              <c:txPr>
                <a:bodyPr rot="0" spcFirstLastPara="1" vertOverflow="ellipsis" vert="horz" wrap="square" lIns="38100" tIns="19050" rIns="38100" bIns="19050" anchor="ctr" anchorCtr="0">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dlblFieldTable>
                    <c15:dlblFTEntry>
                      <c15:txfldGUID>{937822C1-8B25-4CD5-B4D3-99925E52A482}</c15:txfldGUID>
                      <c15:f>'Financial Scorecard'!$G$13</c15:f>
                      <c15:dlblFieldTableCache>
                        <c:ptCount val="1"/>
                        <c:pt idx="0">
                          <c:v>0:1</c:v>
                        </c:pt>
                      </c15:dlblFieldTableCache>
                    </c15:dlblFTEntry>
                  </c15:dlblFieldTable>
                  <c15:showDataLabelsRange val="0"/>
                </c:ext>
                <c:ext xmlns:c16="http://schemas.microsoft.com/office/drawing/2014/chart" uri="{C3380CC4-5D6E-409C-BE32-E72D297353CC}">
                  <c16:uniqueId val="{00000002-9B6A-484A-8CB8-97C522771280}"/>
                </c:ext>
              </c:extLst>
            </c:dLbl>
            <c:spPr>
              <a:noFill/>
              <a:ln>
                <a:noFill/>
              </a:ln>
              <a:effectLst/>
            </c:spPr>
            <c:txPr>
              <a:bodyPr rot="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'Financial Scorecard'!$P$13:$P$15</c15:sqref>
                  </c15:fullRef>
                </c:ext>
              </c:extLst>
              <c:f>'Financial Scorecard'!$P$13</c:f>
              <c:strCache>
                <c:ptCount val="1"/>
                <c:pt idx="0">
                  <c:v>Current Ratio</c:v>
                </c:pt>
              </c:strCache>
            </c:strRef>
          </c:cat>
          <c:val>
            <c:numRef>
              <c:extLst>
                <c:ext xmlns:c15="http://schemas.microsoft.com/office/drawing/2012/chart" uri="{02D57815-91ED-43cb-92C2-25804820EDAC}">
                  <c15:fullRef>
                    <c15:sqref>'Financial Scorecard'!$T$13:$T$15</c15:sqref>
                  </c15:fullRef>
                </c:ext>
              </c:extLst>
              <c:f>'Financial Scorecard'!$T$13</c:f>
              <c:numCache>
                <c:formatCode>General</c:formatCode>
                <c:ptCount val="1"/>
                <c:pt idx="0">
                  <c:v>0.08</c:v>
                </c:pt>
              </c:numCache>
            </c:numRef>
          </c:val>
          <c:extLst>
            <c:ext xmlns:c16="http://schemas.microsoft.com/office/drawing/2014/chart" uri="{C3380CC4-5D6E-409C-BE32-E72D297353CC}">
              <c16:uniqueId val="{00000003-9B6A-484A-8CB8-97C522771280}"/>
            </c:ext>
          </c:extLst>
        </c:ser>
        <c:dLbls>
          <c:showLegendKey val="0"/>
          <c:showVal val="0"/>
          <c:showCatName val="0"/>
          <c:showSerName val="0"/>
          <c:showPercent val="0"/>
          <c:showBubbleSize val="0"/>
        </c:dLbls>
        <c:gapWidth val="50"/>
        <c:overlap val="100"/>
        <c:axId val="418364328"/>
        <c:axId val="413212832"/>
      </c:barChart>
      <c:catAx>
        <c:axId val="521412464"/>
        <c:scaling>
          <c:orientation val="maxMin"/>
        </c:scaling>
        <c:delete val="1"/>
        <c:axPos val="l"/>
        <c:majorGridlines>
          <c:spPr>
            <a:ln w="9525" cap="flat" cmpd="sng" algn="ctr">
              <a:noFill/>
              <a:round/>
            </a:ln>
            <a:effectLst/>
          </c:spPr>
        </c:majorGridlines>
        <c:numFmt formatCode="General" sourceLinked="1"/>
        <c:majorTickMark val="none"/>
        <c:minorTickMark val="none"/>
        <c:tickLblPos val="nextTo"/>
        <c:crossAx val="521414032"/>
        <c:crossesAt val="0"/>
        <c:auto val="1"/>
        <c:lblAlgn val="ctr"/>
        <c:lblOffset val="100"/>
        <c:noMultiLvlLbl val="0"/>
      </c:catAx>
      <c:valAx>
        <c:axId val="521414032"/>
        <c:scaling>
          <c:orientation val="minMax"/>
          <c:max val="2.7"/>
          <c:min val="0"/>
        </c:scaling>
        <c:delete val="1"/>
        <c:axPos val="t"/>
        <c:numFmt formatCode="General" sourceLinked="1"/>
        <c:majorTickMark val="out"/>
        <c:minorTickMark val="none"/>
        <c:tickLblPos val="nextTo"/>
        <c:crossAx val="521412464"/>
        <c:crosses val="autoZero"/>
        <c:crossBetween val="between"/>
      </c:valAx>
      <c:valAx>
        <c:axId val="413212832"/>
        <c:scaling>
          <c:orientation val="minMax"/>
          <c:max val="2.7"/>
          <c:min val="0"/>
        </c:scaling>
        <c:delete val="1"/>
        <c:axPos val="b"/>
        <c:numFmt formatCode="General" sourceLinked="1"/>
        <c:majorTickMark val="out"/>
        <c:minorTickMark val="none"/>
        <c:tickLblPos val="nextTo"/>
        <c:crossAx val="418364328"/>
        <c:crosses val="max"/>
        <c:crossBetween val="between"/>
      </c:valAx>
      <c:catAx>
        <c:axId val="418364328"/>
        <c:scaling>
          <c:orientation val="maxMin"/>
        </c:scaling>
        <c:delete val="1"/>
        <c:axPos val="l"/>
        <c:numFmt formatCode="General" sourceLinked="1"/>
        <c:majorTickMark val="out"/>
        <c:minorTickMark val="none"/>
        <c:tickLblPos val="nextTo"/>
        <c:crossAx val="413212832"/>
        <c:crossesAt val="0"/>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tx>
            <c:v>Spectrum</c:v>
          </c:tx>
          <c:spPr>
            <a:gradFill flip="none" rotWithShape="1">
              <a:gsLst>
                <a:gs pos="32000">
                  <a:srgbClr val="00B050"/>
                </a:gs>
                <a:gs pos="67000">
                  <a:srgbClr val="FFFF00"/>
                </a:gs>
                <a:gs pos="33000">
                  <a:srgbClr val="FFFF00"/>
                </a:gs>
                <a:gs pos="68000">
                  <a:srgbClr val="FF0000"/>
                </a:gs>
              </a:gsLst>
              <a:lin ang="10800000" scaled="0"/>
              <a:tileRect/>
            </a:gradFill>
            <a:ln>
              <a:noFill/>
            </a:ln>
            <a:effectLst/>
          </c:spPr>
          <c:invertIfNegative val="0"/>
          <c:cat>
            <c:strRef>
              <c:extLst>
                <c:ext xmlns:c16="http://schemas.microsoft.com/office/drawing/2014/chart" uri="{F5D05F6E-A05E-4728-AFD3-386EB277150F}">
                  <c16:filteredLitCache>
                    <c:strCache>
                      <c:ptCount val="2"/>
                      <c:pt idx="0">
                        <c:v>Current Ratio</c:v>
                      </c:pt>
                      <c:pt idx="1">
                        <c:v>Working Capital</c:v>
                      </c:pt>
                    </c:strCache>
                  </c16:filteredLitCache>
                </c:ext>
              </c:extLst>
              <c:f/>
              <c:strCache>
                <c:ptCount val="1"/>
                <c:pt idx="0">
                  <c:v>WC/GR</c:v>
                </c:pt>
              </c:strCache>
            </c:strRef>
          </c:cat>
          <c:val>
            <c:numRef>
              <c:extLst>
                <c:ext xmlns:c15="http://schemas.microsoft.com/office/drawing/2012/chart" uri="{02D57815-91ED-43cb-92C2-25804820EDAC}">
                  <c15:fullRef>
                    <c15:sqref>'Financial Scorecard'!$R$13:$R$15</c15:sqref>
                  </c15:fullRef>
                </c:ext>
              </c:extLst>
              <c:f>'Financial Scorecard'!$R$15</c:f>
              <c:numCache>
                <c:formatCode>General</c:formatCode>
                <c:ptCount val="1"/>
                <c:pt idx="0">
                  <c:v>9</c:v>
                </c:pt>
              </c:numCache>
            </c:numRef>
          </c:val>
          <c:extLst>
            <c:ext xmlns:c16="http://schemas.microsoft.com/office/drawing/2014/chart" uri="{C3380CC4-5D6E-409C-BE32-E72D297353CC}">
              <c16:uniqueId val="{00000000-7DE5-4E46-8D32-4C4E498F423C}"/>
            </c:ext>
          </c:extLst>
        </c:ser>
        <c:dLbls>
          <c:showLegendKey val="0"/>
          <c:showVal val="0"/>
          <c:showCatName val="0"/>
          <c:showSerName val="0"/>
          <c:showPercent val="0"/>
          <c:showBubbleSize val="0"/>
        </c:dLbls>
        <c:gapWidth val="150"/>
        <c:overlap val="100"/>
        <c:axId val="521008736"/>
        <c:axId val="414620848"/>
      </c:barChart>
      <c:barChart>
        <c:barDir val="bar"/>
        <c:grouping val="stacked"/>
        <c:varyColors val="0"/>
        <c:ser>
          <c:idx val="2"/>
          <c:order val="1"/>
          <c:tx>
            <c:v>Slider Fill</c:v>
          </c:tx>
          <c:spPr>
            <a:noFill/>
            <a:ln>
              <a:noFill/>
            </a:ln>
            <a:effectLst/>
          </c:spPr>
          <c:invertIfNegative val="0"/>
          <c:cat>
            <c:strRef>
              <c:extLst>
                <c:ext xmlns:c16="http://schemas.microsoft.com/office/drawing/2014/chart" uri="{F5D05F6E-A05E-4728-AFD3-386EB277150F}">
                  <c16:filteredLitCache>
                    <c:strCache>
                      <c:ptCount val="2"/>
                      <c:pt idx="0">
                        <c:v>Current Ratio</c:v>
                      </c:pt>
                      <c:pt idx="1">
                        <c:v>Working Capital</c:v>
                      </c:pt>
                    </c:strCache>
                  </c16:filteredLitCache>
                </c:ext>
              </c:extLst>
              <c:f/>
              <c:strCache>
                <c:ptCount val="1"/>
                <c:pt idx="0">
                  <c:v>WC/GR</c:v>
                </c:pt>
              </c:strCache>
            </c:strRef>
          </c:cat>
          <c:val>
            <c:numRef>
              <c:extLst>
                <c:ext xmlns:c15="http://schemas.microsoft.com/office/drawing/2012/chart" uri="{02D57815-91ED-43cb-92C2-25804820EDAC}">
                  <c15:fullRef>
                    <c15:sqref>'Financial Scorecard'!$S$13:$S$15</c15:sqref>
                  </c15:fullRef>
                </c:ext>
              </c:extLst>
              <c:f>'Financial Scorecard'!$S$15</c:f>
              <c:numCache>
                <c:formatCode>General</c:formatCode>
                <c:ptCount val="1"/>
                <c:pt idx="0">
                  <c:v>0</c:v>
                </c:pt>
              </c:numCache>
            </c:numRef>
          </c:val>
          <c:extLst>
            <c:ext xmlns:c16="http://schemas.microsoft.com/office/drawing/2014/chart" uri="{C3380CC4-5D6E-409C-BE32-E72D297353CC}">
              <c16:uniqueId val="{00000001-7DE5-4E46-8D32-4C4E498F423C}"/>
            </c:ext>
          </c:extLst>
        </c:ser>
        <c:ser>
          <c:idx val="0"/>
          <c:order val="2"/>
          <c:tx>
            <c:v>Slider Size</c:v>
          </c:tx>
          <c:spPr>
            <a:solidFill>
              <a:schemeClr val="bg1">
                <a:lumMod val="85000"/>
              </a:schemeClr>
            </a:solidFill>
            <a:ln>
              <a:solidFill>
                <a:schemeClr val="tx1"/>
              </a:solidFill>
            </a:ln>
            <a:effectLst/>
          </c:spPr>
          <c:invertIfNegative val="0"/>
          <c:dLbls>
            <c:dLbl>
              <c:idx val="0"/>
              <c:layout>
                <c:manualLayout>
                  <c:x val="0"/>
                  <c:y val="0.36129598597645313"/>
                </c:manualLayout>
              </c:layout>
              <c:tx>
                <c:strRef>
                  <c:f>'Financial Scorecard'!$G$15</c:f>
                  <c:strCache>
                    <c:ptCount val="1"/>
                    <c:pt idx="0">
                      <c:v>0%</c:v>
                    </c:pt>
                  </c:strCache>
                </c:strRef>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dlblFieldTable>
                    <c15:dlblFTEntry>
                      <c15:txfldGUID>{E327E885-9752-4E9F-A37E-73D3B60A736C}</c15:txfldGUID>
                      <c15:f>'Financial Scorecard'!$G$15</c15:f>
                      <c15:dlblFieldTableCache>
                        <c:ptCount val="1"/>
                        <c:pt idx="0">
                          <c:v>0%</c:v>
                        </c:pt>
                      </c15:dlblFieldTableCache>
                    </c15:dlblFTEntry>
                  </c15:dlblFieldTable>
                  <c15:showDataLabelsRange val="0"/>
                </c:ext>
                <c:ext xmlns:c16="http://schemas.microsoft.com/office/drawing/2014/chart" uri="{C3380CC4-5D6E-409C-BE32-E72D297353CC}">
                  <c16:uniqueId val="{00000002-7DE5-4E46-8D32-4C4E498F42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6="http://schemas.microsoft.com/office/drawing/2014/chart" uri="{F5D05F6E-A05E-4728-AFD3-386EB277150F}">
                  <c16:filteredLitCache>
                    <c:strCache>
                      <c:ptCount val="2"/>
                      <c:pt idx="0">
                        <c:v>Current Ratio</c:v>
                      </c:pt>
                      <c:pt idx="1">
                        <c:v>Working Capital</c:v>
                      </c:pt>
                    </c:strCache>
                  </c16:filteredLitCache>
                </c:ext>
              </c:extLst>
              <c:f/>
              <c:strCache>
                <c:ptCount val="1"/>
                <c:pt idx="0">
                  <c:v>WC/GR</c:v>
                </c:pt>
              </c:strCache>
            </c:strRef>
          </c:cat>
          <c:val>
            <c:numRef>
              <c:extLst>
                <c:ext xmlns:c15="http://schemas.microsoft.com/office/drawing/2012/chart" uri="{02D57815-91ED-43cb-92C2-25804820EDAC}">
                  <c15:fullRef>
                    <c15:sqref>'Financial Scorecard'!$T$13:$T$15</c15:sqref>
                  </c15:fullRef>
                </c:ext>
              </c:extLst>
              <c:f>'Financial Scorecard'!$T$15</c:f>
              <c:numCache>
                <c:formatCode>General</c:formatCode>
                <c:ptCount val="1"/>
                <c:pt idx="0">
                  <c:v>0.27</c:v>
                </c:pt>
              </c:numCache>
            </c:numRef>
          </c:val>
          <c:extLst>
            <c:ext xmlns:c16="http://schemas.microsoft.com/office/drawing/2014/chart" uri="{C3380CC4-5D6E-409C-BE32-E72D297353CC}">
              <c16:uniqueId val="{00000003-7DE5-4E46-8D32-4C4E498F423C}"/>
            </c:ext>
          </c:extLst>
        </c:ser>
        <c:dLbls>
          <c:showLegendKey val="0"/>
          <c:showVal val="0"/>
          <c:showCatName val="0"/>
          <c:showSerName val="0"/>
          <c:showPercent val="0"/>
          <c:showBubbleSize val="0"/>
        </c:dLbls>
        <c:gapWidth val="50"/>
        <c:overlap val="100"/>
        <c:axId val="419031976"/>
        <c:axId val="522590560"/>
      </c:barChart>
      <c:catAx>
        <c:axId val="521008736"/>
        <c:scaling>
          <c:orientation val="maxMin"/>
        </c:scaling>
        <c:delete val="1"/>
        <c:axPos val="l"/>
        <c:majorGridlines>
          <c:spPr>
            <a:ln w="9525" cap="flat" cmpd="sng" algn="ctr">
              <a:noFill/>
              <a:round/>
            </a:ln>
            <a:effectLst/>
          </c:spPr>
        </c:majorGridlines>
        <c:numFmt formatCode="General" sourceLinked="1"/>
        <c:majorTickMark val="none"/>
        <c:minorTickMark val="none"/>
        <c:tickLblPos val="nextTo"/>
        <c:crossAx val="414620848"/>
        <c:crossesAt val="0"/>
        <c:auto val="1"/>
        <c:lblAlgn val="ctr"/>
        <c:lblOffset val="100"/>
        <c:noMultiLvlLbl val="0"/>
      </c:catAx>
      <c:valAx>
        <c:axId val="414620848"/>
        <c:scaling>
          <c:orientation val="minMax"/>
          <c:max val="9"/>
          <c:min val="0"/>
        </c:scaling>
        <c:delete val="1"/>
        <c:axPos val="t"/>
        <c:numFmt formatCode="General" sourceLinked="1"/>
        <c:majorTickMark val="out"/>
        <c:minorTickMark val="none"/>
        <c:tickLblPos val="nextTo"/>
        <c:crossAx val="521008736"/>
        <c:crosses val="autoZero"/>
        <c:crossBetween val="between"/>
      </c:valAx>
      <c:valAx>
        <c:axId val="522590560"/>
        <c:scaling>
          <c:orientation val="minMax"/>
          <c:max val="9"/>
          <c:min val="0"/>
        </c:scaling>
        <c:delete val="1"/>
        <c:axPos val="b"/>
        <c:numFmt formatCode="General" sourceLinked="1"/>
        <c:majorTickMark val="out"/>
        <c:minorTickMark val="none"/>
        <c:tickLblPos val="nextTo"/>
        <c:crossAx val="419031976"/>
        <c:crosses val="max"/>
        <c:crossBetween val="between"/>
      </c:valAx>
      <c:catAx>
        <c:axId val="419031976"/>
        <c:scaling>
          <c:orientation val="maxMin"/>
        </c:scaling>
        <c:delete val="1"/>
        <c:axPos val="l"/>
        <c:numFmt formatCode="General" sourceLinked="1"/>
        <c:majorTickMark val="out"/>
        <c:minorTickMark val="none"/>
        <c:tickLblPos val="nextTo"/>
        <c:crossAx val="522590560"/>
        <c:crossesAt val="0"/>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269694894232483E-2"/>
          <c:y val="0.26484767940728721"/>
          <c:w val="0.93146061021153503"/>
          <c:h val="0.47030464118542559"/>
        </c:manualLayout>
      </c:layout>
      <c:barChart>
        <c:barDir val="bar"/>
        <c:grouping val="stacked"/>
        <c:varyColors val="0"/>
        <c:ser>
          <c:idx val="1"/>
          <c:order val="0"/>
          <c:tx>
            <c:v>Spectrum</c:v>
          </c:tx>
          <c:spPr>
            <a:gradFill flip="none" rotWithShape="1">
              <a:gsLst>
                <a:gs pos="33000">
                  <a:srgbClr val="00B050"/>
                </a:gs>
                <a:gs pos="67000">
                  <a:srgbClr val="FF0000"/>
                </a:gs>
                <a:gs pos="66000">
                  <a:srgbClr val="FFFF00"/>
                </a:gs>
                <a:gs pos="33000">
                  <a:srgbClr val="FFFF00"/>
                </a:gs>
              </a:gsLst>
              <a:lin ang="10800000" scaled="0"/>
              <a:tileRect/>
            </a:gradFill>
            <a:ln>
              <a:noFill/>
            </a:ln>
            <a:effectLst/>
          </c:spPr>
          <c:invertIfNegative val="0"/>
          <c:cat>
            <c:strRef>
              <c:extLst>
                <c:ext xmlns:c15="http://schemas.microsoft.com/office/drawing/2012/chart" uri="{02D57815-91ED-43cb-92C2-25804820EDAC}">
                  <c15:fullRef>
                    <c15:sqref>'Financial Scorecard'!$P$18:$P$20</c15:sqref>
                  </c15:fullRef>
                </c:ext>
              </c:extLst>
              <c:f>'Financial Scorecard'!$P$18</c:f>
              <c:strCache>
                <c:ptCount val="1"/>
                <c:pt idx="0">
                  <c:v>Debt-to-Asset</c:v>
                </c:pt>
              </c:strCache>
            </c:strRef>
          </c:cat>
          <c:val>
            <c:numRef>
              <c:extLst>
                <c:ext xmlns:c15="http://schemas.microsoft.com/office/drawing/2012/chart" uri="{02D57815-91ED-43cb-92C2-25804820EDAC}">
                  <c15:fullRef>
                    <c15:sqref>'Financial Scorecard'!$R$18:$R$20</c15:sqref>
                  </c15:fullRef>
                </c:ext>
              </c:extLst>
              <c:f>'Financial Scorecard'!$R$18</c:f>
              <c:numCache>
                <c:formatCode>General</c:formatCode>
                <c:ptCount val="1"/>
                <c:pt idx="0">
                  <c:v>10</c:v>
                </c:pt>
              </c:numCache>
            </c:numRef>
          </c:val>
          <c:extLst>
            <c:ext xmlns:c16="http://schemas.microsoft.com/office/drawing/2014/chart" uri="{C3380CC4-5D6E-409C-BE32-E72D297353CC}">
              <c16:uniqueId val="{00000000-2C80-40A0-B2E5-7ABA9A57C216}"/>
            </c:ext>
          </c:extLst>
        </c:ser>
        <c:dLbls>
          <c:showLegendKey val="0"/>
          <c:showVal val="0"/>
          <c:showCatName val="0"/>
          <c:showSerName val="0"/>
          <c:showPercent val="0"/>
          <c:showBubbleSize val="0"/>
        </c:dLbls>
        <c:gapWidth val="150"/>
        <c:overlap val="100"/>
        <c:axId val="521008736"/>
        <c:axId val="414620848"/>
      </c:barChart>
      <c:barChart>
        <c:barDir val="bar"/>
        <c:grouping val="stacked"/>
        <c:varyColors val="0"/>
        <c:ser>
          <c:idx val="2"/>
          <c:order val="1"/>
          <c:tx>
            <c:v>Slider Fill</c:v>
          </c:tx>
          <c:spPr>
            <a:noFill/>
            <a:ln>
              <a:noFill/>
            </a:ln>
            <a:effectLst/>
          </c:spPr>
          <c:invertIfNegative val="0"/>
          <c:cat>
            <c:strRef>
              <c:extLst>
                <c:ext xmlns:c16="http://schemas.microsoft.com/office/drawing/2014/chart" uri="{F5D05F6E-A05E-4728-AFD3-386EB277150F}">
                  <c16:filteredLitCache>
                    <c:strCache>
                      <c:ptCount val="2"/>
                      <c:pt idx="1">
                        <c:v>Working Capital</c:v>
                      </c:pt>
                      <c:pt idx="2">
                        <c:v>WC/GR</c:v>
                      </c:pt>
                    </c:strCache>
                  </c16:filteredLitCache>
                </c:ext>
              </c:extLst>
              <c:f/>
              <c:strCache>
                <c:ptCount val="1"/>
                <c:pt idx="0">
                  <c:v>Current Ratio</c:v>
                </c:pt>
              </c:strCache>
            </c:strRef>
          </c:cat>
          <c:val>
            <c:numRef>
              <c:extLst>
                <c:ext xmlns:c15="http://schemas.microsoft.com/office/drawing/2012/chart" uri="{02D57815-91ED-43cb-92C2-25804820EDAC}">
                  <c15:fullRef>
                    <c15:sqref>'Financial Scorecard'!$S$18:$S$20</c15:sqref>
                  </c15:fullRef>
                </c:ext>
              </c:extLst>
              <c:f>'Financial Scorecard'!$S$18</c:f>
              <c:numCache>
                <c:formatCode>General</c:formatCode>
                <c:ptCount val="1"/>
                <c:pt idx="0">
                  <c:v>8.7538888888888895</c:v>
                </c:pt>
              </c:numCache>
            </c:numRef>
          </c:val>
          <c:extLst>
            <c:ext xmlns:c16="http://schemas.microsoft.com/office/drawing/2014/chart" uri="{C3380CC4-5D6E-409C-BE32-E72D297353CC}">
              <c16:uniqueId val="{00000001-2C80-40A0-B2E5-7ABA9A57C216}"/>
            </c:ext>
          </c:extLst>
        </c:ser>
        <c:ser>
          <c:idx val="0"/>
          <c:order val="2"/>
          <c:tx>
            <c:v>Slider Size</c:v>
          </c:tx>
          <c:spPr>
            <a:solidFill>
              <a:schemeClr val="bg1">
                <a:lumMod val="85000"/>
              </a:schemeClr>
            </a:solidFill>
            <a:ln>
              <a:solidFill>
                <a:schemeClr val="tx1"/>
              </a:solidFill>
            </a:ln>
            <a:effectLst/>
          </c:spPr>
          <c:invertIfNegative val="0"/>
          <c:dLbls>
            <c:dLbl>
              <c:idx val="0"/>
              <c:layout>
                <c:manualLayout>
                  <c:x val="0"/>
                  <c:y val="0.28892663700322102"/>
                </c:manualLayout>
              </c:layout>
              <c:tx>
                <c:rich>
                  <a:bodyPr/>
                  <a:lstStyle/>
                  <a:p>
                    <a:fld id="{62DFF78F-A9B1-4529-BD60-56CC16F88A99}" type="CELLREF">
                      <a:rPr lang="en-US"/>
                      <a:pPr/>
                      <a:t>[CELLREF]</a:t>
                    </a:fld>
                    <a:endParaRPr lang="en-US"/>
                  </a:p>
                </c:rich>
              </c:tx>
              <c:showLegendKey val="0"/>
              <c:showVal val="1"/>
              <c:showCatName val="0"/>
              <c:showSerName val="0"/>
              <c:showPercent val="0"/>
              <c:showBubbleSize val="0"/>
              <c:extLst>
                <c:ext xmlns:c15="http://schemas.microsoft.com/office/drawing/2012/chart" uri="{CE6537A1-D6FC-4f65-9D91-7224C49458BB}">
                  <c15:dlblFieldTable>
                    <c15:dlblFTEntry>
                      <c15:txfldGUID>{62DFF78F-A9B1-4529-BD60-56CC16F88A99}</c15:txfldGUID>
                      <c15:f>'Financial Scorecard'!$G$18</c15:f>
                      <c15:dlblFieldTableCache>
                        <c:ptCount val="1"/>
                        <c:pt idx="0">
                          <c:v>0%</c:v>
                        </c:pt>
                      </c15:dlblFieldTableCache>
                    </c15:dlblFTEntry>
                  </c15:dlblFieldTable>
                  <c15:showDataLabelsRange val="0"/>
                </c:ext>
                <c:ext xmlns:c16="http://schemas.microsoft.com/office/drawing/2014/chart" uri="{C3380CC4-5D6E-409C-BE32-E72D297353CC}">
                  <c16:uniqueId val="{00000004-2C80-40A0-B2E5-7ABA9A57C216}"/>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6="http://schemas.microsoft.com/office/drawing/2014/chart" uri="{F5D05F6E-A05E-4728-AFD3-386EB277150F}">
                  <c16:filteredLitCache>
                    <c:strCache>
                      <c:ptCount val="2"/>
                      <c:pt idx="1">
                        <c:v>Working Capital</c:v>
                      </c:pt>
                      <c:pt idx="2">
                        <c:v>WC/GR</c:v>
                      </c:pt>
                    </c:strCache>
                  </c16:filteredLitCache>
                </c:ext>
              </c:extLst>
              <c:f/>
              <c:strCache>
                <c:ptCount val="1"/>
                <c:pt idx="0">
                  <c:v>Current Ratio</c:v>
                </c:pt>
              </c:strCache>
            </c:strRef>
          </c:cat>
          <c:val>
            <c:numRef>
              <c:extLst>
                <c:ext xmlns:c15="http://schemas.microsoft.com/office/drawing/2012/chart" uri="{02D57815-91ED-43cb-92C2-25804820EDAC}">
                  <c15:fullRef>
                    <c15:sqref>'Financial Scorecard'!$T$18:$T$20</c15:sqref>
                  </c15:fullRef>
                </c:ext>
              </c:extLst>
              <c:f>'Financial Scorecard'!$T$18</c:f>
              <c:numCache>
                <c:formatCode>General</c:formatCode>
                <c:ptCount val="1"/>
                <c:pt idx="0">
                  <c:v>0.27</c:v>
                </c:pt>
              </c:numCache>
            </c:numRef>
          </c:val>
          <c:extLst>
            <c:ext xmlns:c16="http://schemas.microsoft.com/office/drawing/2014/chart" uri="{C3380CC4-5D6E-409C-BE32-E72D297353CC}">
              <c16:uniqueId val="{00000003-2C80-40A0-B2E5-7ABA9A57C216}"/>
            </c:ext>
          </c:extLst>
        </c:ser>
        <c:dLbls>
          <c:showLegendKey val="0"/>
          <c:showVal val="0"/>
          <c:showCatName val="0"/>
          <c:showSerName val="0"/>
          <c:showPercent val="0"/>
          <c:showBubbleSize val="0"/>
        </c:dLbls>
        <c:gapWidth val="50"/>
        <c:overlap val="100"/>
        <c:axId val="419031976"/>
        <c:axId val="522590560"/>
      </c:barChart>
      <c:catAx>
        <c:axId val="521008736"/>
        <c:scaling>
          <c:orientation val="maxMin"/>
        </c:scaling>
        <c:delete val="1"/>
        <c:axPos val="l"/>
        <c:majorGridlines>
          <c:spPr>
            <a:ln w="9525" cap="flat" cmpd="sng" algn="ctr">
              <a:noFill/>
              <a:round/>
            </a:ln>
            <a:effectLst/>
          </c:spPr>
        </c:majorGridlines>
        <c:numFmt formatCode="General" sourceLinked="1"/>
        <c:majorTickMark val="none"/>
        <c:minorTickMark val="none"/>
        <c:tickLblPos val="nextTo"/>
        <c:crossAx val="414620848"/>
        <c:crossesAt val="0"/>
        <c:auto val="1"/>
        <c:lblAlgn val="ctr"/>
        <c:lblOffset val="100"/>
        <c:noMultiLvlLbl val="0"/>
      </c:catAx>
      <c:valAx>
        <c:axId val="414620848"/>
        <c:scaling>
          <c:orientation val="minMax"/>
          <c:max val="10"/>
          <c:min val="0"/>
        </c:scaling>
        <c:delete val="1"/>
        <c:axPos val="t"/>
        <c:numFmt formatCode="General" sourceLinked="1"/>
        <c:majorTickMark val="out"/>
        <c:minorTickMark val="none"/>
        <c:tickLblPos val="nextTo"/>
        <c:crossAx val="521008736"/>
        <c:crosses val="autoZero"/>
        <c:crossBetween val="between"/>
      </c:valAx>
      <c:valAx>
        <c:axId val="522590560"/>
        <c:scaling>
          <c:orientation val="minMax"/>
          <c:max val="9"/>
          <c:min val="0"/>
        </c:scaling>
        <c:delete val="1"/>
        <c:axPos val="b"/>
        <c:numFmt formatCode="General" sourceLinked="1"/>
        <c:majorTickMark val="out"/>
        <c:minorTickMark val="none"/>
        <c:tickLblPos val="nextTo"/>
        <c:crossAx val="419031976"/>
        <c:crosses val="max"/>
        <c:crossBetween val="between"/>
      </c:valAx>
      <c:catAx>
        <c:axId val="419031976"/>
        <c:scaling>
          <c:orientation val="maxMin"/>
        </c:scaling>
        <c:delete val="1"/>
        <c:axPos val="l"/>
        <c:numFmt formatCode="General" sourceLinked="1"/>
        <c:majorTickMark val="out"/>
        <c:minorTickMark val="none"/>
        <c:tickLblPos val="nextTo"/>
        <c:crossAx val="522590560"/>
        <c:crossesAt val="0"/>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269694894232483E-2"/>
          <c:y val="0.26484767940728721"/>
          <c:w val="0.93146061021153503"/>
          <c:h val="0.47030464118542559"/>
        </c:manualLayout>
      </c:layout>
      <c:barChart>
        <c:barDir val="bar"/>
        <c:grouping val="stacked"/>
        <c:varyColors val="0"/>
        <c:ser>
          <c:idx val="1"/>
          <c:order val="0"/>
          <c:tx>
            <c:v>Spectrum</c:v>
          </c:tx>
          <c:spPr>
            <a:gradFill flip="none" rotWithShape="1">
              <a:gsLst>
                <a:gs pos="67000">
                  <a:srgbClr val="00B050"/>
                </a:gs>
                <a:gs pos="33000">
                  <a:srgbClr val="FF0000"/>
                </a:gs>
                <a:gs pos="66000">
                  <a:srgbClr val="FFFF00"/>
                </a:gs>
                <a:gs pos="34000">
                  <a:srgbClr val="FFFF00"/>
                </a:gs>
              </a:gsLst>
              <a:lin ang="0" scaled="0"/>
              <a:tileRect/>
            </a:gradFill>
            <a:ln>
              <a:noFill/>
            </a:ln>
            <a:effectLst/>
          </c:spPr>
          <c:invertIfNegative val="0"/>
          <c:cat>
            <c:strRef>
              <c:extLst>
                <c:ext xmlns:c15="http://schemas.microsoft.com/office/drawing/2012/chart" uri="{02D57815-91ED-43cb-92C2-25804820EDAC}">
                  <c15:fullRef>
                    <c15:sqref>'Financial Scorecard'!$P$18:$P$20</c15:sqref>
                  </c15:fullRef>
                </c:ext>
              </c:extLst>
              <c:f>'Financial Scorecard'!$P$19</c:f>
              <c:strCache>
                <c:ptCount val="1"/>
                <c:pt idx="0">
                  <c:v>Equity-to-Asset</c:v>
                </c:pt>
              </c:strCache>
            </c:strRef>
          </c:cat>
          <c:val>
            <c:numRef>
              <c:extLst>
                <c:ext xmlns:c15="http://schemas.microsoft.com/office/drawing/2012/chart" uri="{02D57815-91ED-43cb-92C2-25804820EDAC}">
                  <c15:fullRef>
                    <c15:sqref>'Financial Scorecard'!$R$18:$R$20</c15:sqref>
                  </c15:fullRef>
                </c:ext>
              </c:extLst>
              <c:f>'Financial Scorecard'!$R$19</c:f>
              <c:numCache>
                <c:formatCode>General</c:formatCode>
                <c:ptCount val="1"/>
                <c:pt idx="0">
                  <c:v>10</c:v>
                </c:pt>
              </c:numCache>
            </c:numRef>
          </c:val>
          <c:extLst>
            <c:ext xmlns:c16="http://schemas.microsoft.com/office/drawing/2014/chart" uri="{C3380CC4-5D6E-409C-BE32-E72D297353CC}">
              <c16:uniqueId val="{00000000-677C-47CB-94F5-04D78992B031}"/>
            </c:ext>
          </c:extLst>
        </c:ser>
        <c:dLbls>
          <c:showLegendKey val="0"/>
          <c:showVal val="0"/>
          <c:showCatName val="0"/>
          <c:showSerName val="0"/>
          <c:showPercent val="0"/>
          <c:showBubbleSize val="0"/>
        </c:dLbls>
        <c:gapWidth val="150"/>
        <c:overlap val="100"/>
        <c:axId val="521008736"/>
        <c:axId val="414620848"/>
      </c:barChart>
      <c:barChart>
        <c:barDir val="bar"/>
        <c:grouping val="stacked"/>
        <c:varyColors val="0"/>
        <c:ser>
          <c:idx val="2"/>
          <c:order val="1"/>
          <c:tx>
            <c:v>Slider Fill</c:v>
          </c:tx>
          <c:spPr>
            <a:noFill/>
            <a:ln>
              <a:noFill/>
            </a:ln>
            <a:effectLst/>
          </c:spPr>
          <c:invertIfNegative val="0"/>
          <c:cat>
            <c:strRef>
              <c:extLst>
                <c:ext xmlns:c16="http://schemas.microsoft.com/office/drawing/2014/chart" uri="{F5D05F6E-A05E-4728-AFD3-386EB277150F}">
                  <c16:filteredLitCache>
                    <c:strCache>
                      <c:ptCount val="2"/>
                      <c:pt idx="0">
                        <c:v>Current Ratio</c:v>
                      </c:pt>
                      <c:pt idx="2">
                        <c:v>WC/GR</c:v>
                      </c:pt>
                    </c:strCache>
                  </c16:filteredLitCache>
                </c:ext>
              </c:extLst>
              <c:f/>
              <c:strCache>
                <c:ptCount val="1"/>
                <c:pt idx="0">
                  <c:v>Working Capital</c:v>
                </c:pt>
              </c:strCache>
            </c:strRef>
          </c:cat>
          <c:val>
            <c:numRef>
              <c:extLst>
                <c:ext xmlns:c15="http://schemas.microsoft.com/office/drawing/2012/chart" uri="{02D57815-91ED-43cb-92C2-25804820EDAC}">
                  <c15:fullRef>
                    <c15:sqref>'Financial Scorecard'!$S$18:$S$20</c15:sqref>
                  </c15:fullRef>
                </c:ext>
              </c:extLst>
              <c:f>'Financial Scorecard'!$S$19</c:f>
              <c:numCache>
                <c:formatCode>General</c:formatCode>
                <c:ptCount val="1"/>
                <c:pt idx="0">
                  <c:v>8.9559090909090902</c:v>
                </c:pt>
              </c:numCache>
            </c:numRef>
          </c:val>
          <c:extLst>
            <c:ext xmlns:c16="http://schemas.microsoft.com/office/drawing/2014/chart" uri="{C3380CC4-5D6E-409C-BE32-E72D297353CC}">
              <c16:uniqueId val="{00000001-677C-47CB-94F5-04D78992B031}"/>
            </c:ext>
          </c:extLst>
        </c:ser>
        <c:ser>
          <c:idx val="0"/>
          <c:order val="2"/>
          <c:tx>
            <c:v>Slider Size</c:v>
          </c:tx>
          <c:spPr>
            <a:solidFill>
              <a:schemeClr val="bg1">
                <a:lumMod val="85000"/>
              </a:schemeClr>
            </a:solidFill>
            <a:ln>
              <a:solidFill>
                <a:schemeClr val="tx1"/>
              </a:solidFill>
            </a:ln>
            <a:effectLst/>
          </c:spPr>
          <c:invertIfNegative val="0"/>
          <c:dLbls>
            <c:dLbl>
              <c:idx val="0"/>
              <c:layout>
                <c:manualLayout>
                  <c:x val="6.2308536171331794E-3"/>
                  <c:y val="0.31300369876751988"/>
                </c:manualLayout>
              </c:layout>
              <c:tx>
                <c:strRef>
                  <c:f>'Financial Scorecard'!$G$19</c:f>
                  <c:strCache>
                    <c:ptCount val="1"/>
                    <c:pt idx="0">
                      <c:v>100%</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{ECFF10DC-5F27-4F99-A63E-02031D3ADA1D}</c15:txfldGUID>
                      <c15:f>'Financial Scorecard'!$G$19</c15:f>
                      <c15:dlblFieldTableCache>
                        <c:ptCount val="1"/>
                        <c:pt idx="0">
                          <c:v>100%</c:v>
                        </c:pt>
                      </c15:dlblFieldTableCache>
                    </c15:dlblFTEntry>
                  </c15:dlblFieldTable>
                  <c15:showDataLabelsRange val="0"/>
                </c:ext>
                <c:ext xmlns:c16="http://schemas.microsoft.com/office/drawing/2014/chart" uri="{C3380CC4-5D6E-409C-BE32-E72D297353CC}">
                  <c16:uniqueId val="{00000004-677C-47CB-94F5-04D78992B03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6="http://schemas.microsoft.com/office/drawing/2014/chart" uri="{F5D05F6E-A05E-4728-AFD3-386EB277150F}">
                  <c16:filteredLitCache>
                    <c:strCache>
                      <c:ptCount val="2"/>
                      <c:pt idx="0">
                        <c:v>Current Ratio</c:v>
                      </c:pt>
                      <c:pt idx="2">
                        <c:v>WC/GR</c:v>
                      </c:pt>
                    </c:strCache>
                  </c16:filteredLitCache>
                </c:ext>
              </c:extLst>
              <c:f/>
              <c:strCache>
                <c:ptCount val="1"/>
                <c:pt idx="0">
                  <c:v>Working Capital</c:v>
                </c:pt>
              </c:strCache>
            </c:strRef>
          </c:cat>
          <c:val>
            <c:numRef>
              <c:extLst>
                <c:ext xmlns:c15="http://schemas.microsoft.com/office/drawing/2012/chart" uri="{02D57815-91ED-43cb-92C2-25804820EDAC}">
                  <c15:fullRef>
                    <c15:sqref>'Financial Scorecard'!$T$18:$T$20</c15:sqref>
                  </c15:fullRef>
                </c:ext>
              </c:extLst>
              <c:f>'Financial Scorecard'!$T$19</c:f>
              <c:numCache>
                <c:formatCode>General</c:formatCode>
                <c:ptCount val="1"/>
                <c:pt idx="0">
                  <c:v>0.27</c:v>
                </c:pt>
              </c:numCache>
            </c:numRef>
          </c:val>
          <c:extLst>
            <c:ext xmlns:c16="http://schemas.microsoft.com/office/drawing/2014/chart" uri="{F5D05F6E-A05E-4728-AFD3-386EB277150F}">
              <c16:categoryFilterExceptions>
                <c16:categoryFilterException>
                  <c16:uniqueId val="{00000002-677C-47CB-94F5-04D78992B031}"/>
                  <c16:dLbl>
                    <c:idx val="-1"/>
                    <c:layout>
                      <c:manualLayout>
                        <c:x val="0"/>
                        <c:y val="0.28892663700322102"/>
                      </c:manualLayout>
                    </c:layout>
                    <c:tx>
                      <c:rich>
                        <a:bodyPr/>
                        <a:lstStyle/>
                        <a:p>
                          <a:fld id="{62DFF78F-A9B1-4529-BD60-56CC16F88A99}" type="CELLREF">
                            <a:rPr lang="en-US"/>
                            <a:pPr/>
                            <a:t>[CELLREF]</a:t>
                          </a:fld>
                          <a:endParaRPr lang="en-US"/>
                        </a:p>
                      </c:rich>
                    </c:tx>
                    <c:showLegendKey val="0"/>
                    <c:showVal val="1"/>
                    <c:showCatName val="0"/>
                    <c:showSerName val="0"/>
                    <c:showPercent val="0"/>
                    <c:showBubbleSize val="0"/>
                    <c:extLst>
                      <c:ext xmlns:c15="http://schemas.microsoft.com/office/drawing/2012/chart" uri="{CE6537A1-D6FC-4f65-9D91-7224C49458BB}">
                        <c15:dlblFieldTable>
                          <c15:dlblFTEntry>
                            <c15:txfldGUID>{62DFF78F-A9B1-4529-BD60-56CC16F88A99}</c15:txfldGUID>
                            <c15:f>'Financial Scorecard'!$G$18</c15:f>
                            <c15:dlblFieldTableCache>
                              <c:ptCount val="1"/>
                              <c:pt idx="0">
                                <c:v>0%</c:v>
                              </c:pt>
                            </c15:dlblFieldTableCache>
                          </c15:dlblFTEntry>
                        </c15:dlblFieldTable>
                        <c15:showDataLabelsRange val="0"/>
                      </c:ext>
                      <c:ext uri="{C3380CC4-5D6E-409C-BE32-E72D297353CC}">
                        <c16:uniqueId val="{00000002-677C-47CB-94F5-04D78992B031}"/>
                      </c:ext>
                    </c:extLst>
                  </c16:dLbl>
                </c16:categoryFilterException>
              </c16:categoryFilterExceptions>
            </c:ext>
            <c:ext xmlns:c16="http://schemas.microsoft.com/office/drawing/2014/chart" uri="{C5897E43-82E2-4C41-B96C-FBF1F857EA46}">
              <c16:datapointuniqueidmap xmlns:c16="http://schemas.microsoft.com/office/drawing/2014/chart">
                <c16:ptentry>
                  <c16:ptidx>0</c16:ptidx>
                  <c16:uniqueID val="{00000002-677C-47CB-94F5-04D78992B031}"/>
                </c16:ptentry>
              </c16:datapointuniqueidmap>
            </c:ext>
            <c:ext xmlns:c16="http://schemas.microsoft.com/office/drawing/2014/chart" uri="{C3380CC4-5D6E-409C-BE32-E72D297353CC}">
              <c16:uniqueId val="{00000003-677C-47CB-94F5-04D78992B031}"/>
            </c:ext>
          </c:extLst>
        </c:ser>
        <c:dLbls>
          <c:showLegendKey val="0"/>
          <c:showVal val="0"/>
          <c:showCatName val="0"/>
          <c:showSerName val="0"/>
          <c:showPercent val="0"/>
          <c:showBubbleSize val="0"/>
        </c:dLbls>
        <c:gapWidth val="50"/>
        <c:overlap val="100"/>
        <c:axId val="419031976"/>
        <c:axId val="522590560"/>
      </c:barChart>
      <c:catAx>
        <c:axId val="521008736"/>
        <c:scaling>
          <c:orientation val="maxMin"/>
        </c:scaling>
        <c:delete val="1"/>
        <c:axPos val="l"/>
        <c:majorGridlines>
          <c:spPr>
            <a:ln w="9525" cap="flat" cmpd="sng" algn="ctr">
              <a:noFill/>
              <a:round/>
            </a:ln>
            <a:effectLst/>
          </c:spPr>
        </c:majorGridlines>
        <c:numFmt formatCode="General" sourceLinked="1"/>
        <c:majorTickMark val="none"/>
        <c:minorTickMark val="none"/>
        <c:tickLblPos val="nextTo"/>
        <c:crossAx val="414620848"/>
        <c:crossesAt val="0"/>
        <c:auto val="1"/>
        <c:lblAlgn val="ctr"/>
        <c:lblOffset val="100"/>
        <c:noMultiLvlLbl val="0"/>
      </c:catAx>
      <c:valAx>
        <c:axId val="414620848"/>
        <c:scaling>
          <c:orientation val="minMax"/>
          <c:max val="10"/>
          <c:min val="0"/>
        </c:scaling>
        <c:delete val="1"/>
        <c:axPos val="t"/>
        <c:numFmt formatCode="General" sourceLinked="1"/>
        <c:majorTickMark val="out"/>
        <c:minorTickMark val="none"/>
        <c:tickLblPos val="nextTo"/>
        <c:crossAx val="521008736"/>
        <c:crosses val="autoZero"/>
        <c:crossBetween val="between"/>
      </c:valAx>
      <c:valAx>
        <c:axId val="522590560"/>
        <c:scaling>
          <c:orientation val="minMax"/>
          <c:max val="9"/>
          <c:min val="0"/>
        </c:scaling>
        <c:delete val="1"/>
        <c:axPos val="b"/>
        <c:numFmt formatCode="General" sourceLinked="1"/>
        <c:majorTickMark val="out"/>
        <c:minorTickMark val="none"/>
        <c:tickLblPos val="nextTo"/>
        <c:crossAx val="419031976"/>
        <c:crosses val="max"/>
        <c:crossBetween val="between"/>
      </c:valAx>
      <c:catAx>
        <c:axId val="419031976"/>
        <c:scaling>
          <c:orientation val="maxMin"/>
        </c:scaling>
        <c:delete val="1"/>
        <c:axPos val="l"/>
        <c:numFmt formatCode="General" sourceLinked="1"/>
        <c:majorTickMark val="out"/>
        <c:minorTickMark val="none"/>
        <c:tickLblPos val="nextTo"/>
        <c:crossAx val="522590560"/>
        <c:crossesAt val="0"/>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4" dropStyle="combo" dx="16" fmlaLink="$L$17" fmlaRange="Inputs!$C$18:$C$21" noThreeD="1" sel="1" val="0"/>
</file>

<file path=xl/ctrlProps/ctrlProp10.xml><?xml version="1.0" encoding="utf-8"?>
<formControlPr xmlns="http://schemas.microsoft.com/office/spreadsheetml/2009/9/main" objectType="Drop" dropLines="2" dropStyle="combo" dx="16" fmlaLink="'Financial Scorecard'!$M$2" fmlaRange="Inputs!$A$32:$A$33" noThreeD="1" sel="2" val="0"/>
</file>

<file path=xl/ctrlProps/ctrlProp11.xml><?xml version="1.0" encoding="utf-8"?>
<formControlPr xmlns="http://schemas.microsoft.com/office/spreadsheetml/2009/9/main" objectType="Drop" dropLines="14" dropStyle="combo" dx="16" fmlaLink="Inputs!$I$60" fmlaRange="Inputs!$J$43:$J$56" noThreeD="1" sel="12" val="0"/>
</file>

<file path=xl/ctrlProps/ctrlProp12.xml><?xml version="1.0" encoding="utf-8"?>
<formControlPr xmlns="http://schemas.microsoft.com/office/spreadsheetml/2009/9/main" objectType="Drop" dropLines="4" dropStyle="combo" dx="16" fmlaLink="'Gen Info'!$L$17" fmlaRange="Inputs!$C$18:$C$21" noThreeD="1" sel="1" val="0"/>
</file>

<file path=xl/ctrlProps/ctrlProp13.xml><?xml version="1.0" encoding="utf-8"?>
<formControlPr xmlns="http://schemas.microsoft.com/office/spreadsheetml/2009/9/main" objectType="Drop" dropLines="3" dropStyle="combo" dx="16" fmlaLink="Inputs!$D$52" fmlaRange="Inputs!$D$18:$D$20" noThreeD="1" sel="1" val="0"/>
</file>

<file path=xl/ctrlProps/ctrlProp2.xml><?xml version="1.0" encoding="utf-8"?>
<formControlPr xmlns="http://schemas.microsoft.com/office/spreadsheetml/2009/9/main" objectType="Drop" dropLines="3" dropStyle="combo" dx="16" fmlaLink="$L$22" fmlaRange="Inputs!$K$6:$K$7" noThreeD="1" sel="2" val="0"/>
</file>

<file path=xl/ctrlProps/ctrlProp3.xml><?xml version="1.0" encoding="utf-8"?>
<formControlPr xmlns="http://schemas.microsoft.com/office/spreadsheetml/2009/9/main" objectType="Drop" dropLines="5" dropStyle="combo" dx="16" fmlaLink="$K$15" fmlaRange="Inputs!$A$37:$A$42" noThreeD="1" sel="1" val="0"/>
</file>

<file path=xl/ctrlProps/ctrlProp4.xml><?xml version="1.0" encoding="utf-8"?>
<formControlPr xmlns="http://schemas.microsoft.com/office/spreadsheetml/2009/9/main" objectType="Drop" dropLines="2" dropStyle="combo" dx="16" fmlaLink="'Financial Scorecard'!$M$2" fmlaRange="Inputs!$A$32:$A$33" noThreeD="1" sel="2" val="0"/>
</file>

<file path=xl/ctrlProps/ctrlProp5.xml><?xml version="1.0" encoding="utf-8"?>
<formControlPr xmlns="http://schemas.microsoft.com/office/spreadsheetml/2009/9/main" objectType="Drop" dropLines="3" dropStyle="combo" dx="16" fmlaLink="'Gen Info'!$L$22" fmlaRange="Inputs!$K$6:$K$7" noThreeD="1" sel="2" val="0"/>
</file>

<file path=xl/ctrlProps/ctrlProp6.xml><?xml version="1.0" encoding="utf-8"?>
<formControlPr xmlns="http://schemas.microsoft.com/office/spreadsheetml/2009/9/main" objectType="Drop" dropLines="4" dropStyle="combo" dx="16" fmlaLink="'Gen Info'!$L$17" fmlaRange="Inputs!$C$18:$C$21" noThreeD="1" sel="1" val="0"/>
</file>

<file path=xl/ctrlProps/ctrlProp7.xml><?xml version="1.0" encoding="utf-8"?>
<formControlPr xmlns="http://schemas.microsoft.com/office/spreadsheetml/2009/9/main" objectType="Drop" dropLines="2" dropStyle="combo" dx="16" fmlaLink="'Financial Scorecard'!$M$2" fmlaRange="Inputs!$A$32:$A$33" noThreeD="1" sel="2" val="0"/>
</file>

<file path=xl/ctrlProps/ctrlProp8.xml><?xml version="1.0" encoding="utf-8"?>
<formControlPr xmlns="http://schemas.microsoft.com/office/spreadsheetml/2009/9/main" objectType="Drop" dropLines="2" dropStyle="combo" dx="16" fmlaLink="$M$2" fmlaRange="Inputs!$A$32:$A$33" noThreeD="1" sel="2" val="0"/>
</file>

<file path=xl/ctrlProps/ctrlProp9.xml><?xml version="1.0" encoding="utf-8"?>
<formControlPr xmlns="http://schemas.microsoft.com/office/spreadsheetml/2009/9/main" objectType="Drop" dropLines="4" dropStyle="combo" dx="16" fmlaLink="'Gen Info'!$L$17" fmlaRange="Inputs!$C$18:$C$21" noThreeD="1" sel="1" val="0"/>
</file>

<file path=xl/drawings/_rels/drawing1.xml.rels><?xml version="1.0" encoding="UTF-8" standalone="yes"?>
<Relationships xmlns="http://schemas.openxmlformats.org/package/2006/relationships"><Relationship Id="rId8" Type="http://schemas.openxmlformats.org/officeDocument/2006/relationships/hyperlink" Target="#Dashboard!A1"/><Relationship Id="rId3" Type="http://schemas.openxmlformats.org/officeDocument/2006/relationships/hyperlink" Target="#ACFSalesCropTot"/><Relationship Id="rId7" Type="http://schemas.openxmlformats.org/officeDocument/2006/relationships/hyperlink" Target="#'Financial Scorecard'!A1"/><Relationship Id="rId2" Type="http://schemas.openxmlformats.org/officeDocument/2006/relationships/hyperlink" Target="#'Final Balance Sheet'!A1"/><Relationship Id="rId1" Type="http://schemas.openxmlformats.org/officeDocument/2006/relationships/hyperlink" Target="#CACashEntry"/><Relationship Id="rId6" Type="http://schemas.openxmlformats.org/officeDocument/2006/relationships/image" Target="../media/image2.png"/><Relationship Id="rId11" Type="http://schemas.openxmlformats.org/officeDocument/2006/relationships/hyperlink" Target="#'Schedule F Cash to Accrual'!H8"/><Relationship Id="rId5" Type="http://schemas.openxmlformats.org/officeDocument/2006/relationships/image" Target="../media/image1.png"/><Relationship Id="rId10" Type="http://schemas.openxmlformats.org/officeDocument/2006/relationships/image" Target="../media/image4.jpeg"/><Relationship Id="rId4" Type="http://schemas.openxmlformats.org/officeDocument/2006/relationships/hyperlink" Target="http://learn.cffm.umn.edu/Module.aspx?v=1576" TargetMode="External"/><Relationship Id="rId9" Type="http://schemas.openxmlformats.org/officeDocument/2006/relationships/image" Target="../media/image3.png"/></Relationships>
</file>

<file path=xl/drawings/_rels/drawing10.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hyperlink" Target="#'Schedule F Cash to Accrual'!P21"/><Relationship Id="rId18" Type="http://schemas.openxmlformats.org/officeDocument/2006/relationships/hyperlink" Target="#'Schedule F Cash to Accrual'!E40"/><Relationship Id="rId26" Type="http://schemas.openxmlformats.org/officeDocument/2006/relationships/hyperlink" Target="#'Financial Scorecard'!A1"/><Relationship Id="rId3" Type="http://schemas.openxmlformats.org/officeDocument/2006/relationships/hyperlink" Target="#'Gen Info'!K10"/><Relationship Id="rId21" Type="http://schemas.openxmlformats.org/officeDocument/2006/relationships/hyperlink" Target="#'Schedule F Entry'!E8"/><Relationship Id="rId7" Type="http://schemas.openxmlformats.org/officeDocument/2006/relationships/hyperlink" Target="#'Schedule F Cash to Accrual'!H14"/><Relationship Id="rId12" Type="http://schemas.openxmlformats.org/officeDocument/2006/relationships/hyperlink" Target="#schFFeederPurch"/><Relationship Id="rId17" Type="http://schemas.openxmlformats.org/officeDocument/2006/relationships/hyperlink" Target="#'Schedule F Cash to Accrual'!D42"/><Relationship Id="rId25" Type="http://schemas.openxmlformats.org/officeDocument/2006/relationships/hyperlink" Target="#'Schedule F Entry'!A1"/><Relationship Id="rId2" Type="http://schemas.openxmlformats.org/officeDocument/2006/relationships/hyperlink" Target="#'Cash Flows'!D10"/><Relationship Id="rId16" Type="http://schemas.openxmlformats.org/officeDocument/2006/relationships/hyperlink" Target="#'Schedule F Cash to Accrual'!D41"/><Relationship Id="rId20" Type="http://schemas.openxmlformats.org/officeDocument/2006/relationships/hyperlink" Target="#'Schedule F Cash to Accrual'!E42"/><Relationship Id="rId29" Type="http://schemas.openxmlformats.org/officeDocument/2006/relationships/hyperlink" Target="#schFAssetsMachBeg"/><Relationship Id="rId1" Type="http://schemas.openxmlformats.org/officeDocument/2006/relationships/image" Target="../media/image9.png"/><Relationship Id="rId6" Type="http://schemas.openxmlformats.org/officeDocument/2006/relationships/image" Target="../media/image11.emf"/><Relationship Id="rId11" Type="http://schemas.openxmlformats.org/officeDocument/2006/relationships/hyperlink" Target="#'Schedule F Cash to Accrual'!H26"/><Relationship Id="rId24" Type="http://schemas.openxmlformats.org/officeDocument/2006/relationships/hyperlink" Target="#schF14"/><Relationship Id="rId5" Type="http://schemas.openxmlformats.org/officeDocument/2006/relationships/hyperlink" Target="#schFCulls"/><Relationship Id="rId15" Type="http://schemas.openxmlformats.org/officeDocument/2006/relationships/hyperlink" Target="#'Schedule F Cash to Accrual'!D40"/><Relationship Id="rId23" Type="http://schemas.openxmlformats.org/officeDocument/2006/relationships/hyperlink" Target="#schF10"/><Relationship Id="rId28" Type="http://schemas.openxmlformats.org/officeDocument/2006/relationships/hyperlink" Target="#'Final Income and Cash Flows'!A1"/><Relationship Id="rId10" Type="http://schemas.openxmlformats.org/officeDocument/2006/relationships/hyperlink" Target="#'Schedule F Cash to Accrual'!D21"/><Relationship Id="rId19" Type="http://schemas.openxmlformats.org/officeDocument/2006/relationships/hyperlink" Target="#'Schedule F Cash to Accrual'!E41"/><Relationship Id="rId4" Type="http://schemas.openxmlformats.org/officeDocument/2006/relationships/hyperlink" Target="#'Final Balance Sheet'!A1"/><Relationship Id="rId9" Type="http://schemas.openxmlformats.org/officeDocument/2006/relationships/hyperlink" Target="#schFHedging"/><Relationship Id="rId14" Type="http://schemas.openxmlformats.org/officeDocument/2006/relationships/hyperlink" Target="#'Schedule F Cash to Accrual'!P29"/><Relationship Id="rId22" Type="http://schemas.openxmlformats.org/officeDocument/2006/relationships/hyperlink" Target="#schFAACropBeg"/><Relationship Id="rId27" Type="http://schemas.openxmlformats.org/officeDocument/2006/relationships/hyperlink" Target="#Dashboard!A1"/></Relationships>
</file>

<file path=xl/drawings/_rels/drawing11.xml.rels><?xml version="1.0" encoding="UTF-8" standalone="yes"?>
<Relationships xmlns="http://schemas.openxmlformats.org/package/2006/relationships"><Relationship Id="rId3" Type="http://schemas.openxmlformats.org/officeDocument/2006/relationships/hyperlink" Target="#'Gen Info'!K10"/><Relationship Id="rId2" Type="http://schemas.openxmlformats.org/officeDocument/2006/relationships/hyperlink" Target="#'Cash Flows'!D10"/><Relationship Id="rId1" Type="http://schemas.openxmlformats.org/officeDocument/2006/relationships/image" Target="../media/image9.png"/><Relationship Id="rId6" Type="http://schemas.openxmlformats.org/officeDocument/2006/relationships/image" Target="../media/image11.emf"/><Relationship Id="rId5" Type="http://schemas.openxmlformats.org/officeDocument/2006/relationships/hyperlink" Target="#schF1a"/><Relationship Id="rId4" Type="http://schemas.openxmlformats.org/officeDocument/2006/relationships/hyperlink" Target="#'Final Balance Sheet'!A1"/></Relationships>
</file>

<file path=xl/drawings/_rels/drawing12.xml.rels><?xml version="1.0" encoding="UTF-8" standalone="yes"?>
<Relationships xmlns="http://schemas.openxmlformats.org/package/2006/relationships"><Relationship Id="rId26" Type="http://schemas.openxmlformats.org/officeDocument/2006/relationships/hyperlink" Target="#ACFFCMiscInput"/><Relationship Id="rId117" Type="http://schemas.openxmlformats.org/officeDocument/2006/relationships/hyperlink" Target="#ACFVCPurchFeedInput"/><Relationship Id="rId21" Type="http://schemas.openxmlformats.org/officeDocument/2006/relationships/hyperlink" Target="#ACFFCLandRentInput"/><Relationship Id="rId42" Type="http://schemas.openxmlformats.org/officeDocument/2006/relationships/hyperlink" Target="#ACFDMVCMktSuppInput"/><Relationship Id="rId47" Type="http://schemas.openxmlformats.org/officeDocument/2006/relationships/hyperlink" Target="#ACFDMFCVehInput"/><Relationship Id="rId63" Type="http://schemas.openxmlformats.org/officeDocument/2006/relationships/hyperlink" Target="#ACFPMortInput"/><Relationship Id="rId68" Type="http://schemas.openxmlformats.org/officeDocument/2006/relationships/hyperlink" Target="#ACFNewCredInput"/><Relationship Id="rId84" Type="http://schemas.openxmlformats.org/officeDocument/2006/relationships/hyperlink" Target="http://learn.cffm.umn.edu/Module.aspx?v=1579" TargetMode="External"/><Relationship Id="rId89" Type="http://schemas.openxmlformats.org/officeDocument/2006/relationships/hyperlink" Target="#ACFPIncPersLoansInputLoan"/><Relationship Id="rId112" Type="http://schemas.openxmlformats.org/officeDocument/2006/relationships/hyperlink" Target="#ACFVCCropSuppliesInput"/><Relationship Id="rId133" Type="http://schemas.openxmlformats.org/officeDocument/2006/relationships/hyperlink" Target="#MCFPWageInput"/><Relationship Id="rId138" Type="http://schemas.openxmlformats.org/officeDocument/2006/relationships/hyperlink" Target="#ACFPIncInheritInput"/><Relationship Id="rId16" Type="http://schemas.openxmlformats.org/officeDocument/2006/relationships/hyperlink" Target="#ACFVCLivestockSuppliesInput"/><Relationship Id="rId107" Type="http://schemas.openxmlformats.org/officeDocument/2006/relationships/hyperlink" Target="#ACFINVChangeInput"/><Relationship Id="rId11" Type="http://schemas.openxmlformats.org/officeDocument/2006/relationships/hyperlink" Target="#ACFOthIncomeInput"/><Relationship Id="rId32" Type="http://schemas.openxmlformats.org/officeDocument/2006/relationships/hyperlink" Target="#ACFDMEquipGainInput"/><Relationship Id="rId37" Type="http://schemas.openxmlformats.org/officeDocument/2006/relationships/hyperlink" Target="#ACFDMVCSuppliesInput"/><Relationship Id="rId53" Type="http://schemas.openxmlformats.org/officeDocument/2006/relationships/hyperlink" Target="#ACFPWagesInput"/><Relationship Id="rId58" Type="http://schemas.openxmlformats.org/officeDocument/2006/relationships/hyperlink" Target="#ACFPMedicalInput"/><Relationship Id="rId74" Type="http://schemas.openxmlformats.org/officeDocument/2006/relationships/hyperlink" Target="#ACFPSupInput"/><Relationship Id="rId79" Type="http://schemas.openxmlformats.org/officeDocument/2006/relationships/hyperlink" Target="#ACFPEducationInput"/><Relationship Id="rId102" Type="http://schemas.openxmlformats.org/officeDocument/2006/relationships/hyperlink" Target="#ACFCropInsIncInput"/><Relationship Id="rId123" Type="http://schemas.openxmlformats.org/officeDocument/2006/relationships/hyperlink" Target="#ACFVCCustomHireInput"/><Relationship Id="rId128" Type="http://schemas.openxmlformats.org/officeDocument/2006/relationships/hyperlink" Target="#ACFPPersCapPurchInput"/><Relationship Id="rId5" Type="http://schemas.openxmlformats.org/officeDocument/2006/relationships/hyperlink" Target="#'Final Income and Cash Flows'!A1"/><Relationship Id="rId90" Type="http://schemas.openxmlformats.org/officeDocument/2006/relationships/hyperlink" Target="#ACFDMNewDMOpInput"/><Relationship Id="rId95" Type="http://schemas.openxmlformats.org/officeDocument/2006/relationships/hyperlink" Target="#ACFFCMachLeaseInput"/><Relationship Id="rId14" Type="http://schemas.openxmlformats.org/officeDocument/2006/relationships/hyperlink" Target="#ACFVCStorageInput"/><Relationship Id="rId22" Type="http://schemas.openxmlformats.org/officeDocument/2006/relationships/hyperlink" Target="#ACFFCDeprEquipInput"/><Relationship Id="rId27" Type="http://schemas.openxmlformats.org/officeDocument/2006/relationships/hyperlink" Target="#ACFFCOthInput"/><Relationship Id="rId30" Type="http://schemas.openxmlformats.org/officeDocument/2006/relationships/hyperlink" Target="#ACFIncCustomWorkInput"/><Relationship Id="rId35" Type="http://schemas.openxmlformats.org/officeDocument/2006/relationships/hyperlink" Target="#ACFDMVCInsInput"/><Relationship Id="rId43" Type="http://schemas.openxmlformats.org/officeDocument/2006/relationships/hyperlink" Target="#ACFDMVCOthInput"/><Relationship Id="rId48" Type="http://schemas.openxmlformats.org/officeDocument/2006/relationships/hyperlink" Target="#ACFDMFCDeprInput"/><Relationship Id="rId56" Type="http://schemas.openxmlformats.org/officeDocument/2006/relationships/hyperlink" Target="#ACFPOthIncInput"/><Relationship Id="rId64" Type="http://schemas.openxmlformats.org/officeDocument/2006/relationships/hyperlink" Target="#ACFPRETaxesInput"/><Relationship Id="rId69" Type="http://schemas.openxmlformats.org/officeDocument/2006/relationships/hyperlink" Target="#ACFCapPurchInput"/><Relationship Id="rId77" Type="http://schemas.openxmlformats.org/officeDocument/2006/relationships/hyperlink" Target="#ACFPChildCareInput"/><Relationship Id="rId100" Type="http://schemas.openxmlformats.org/officeDocument/2006/relationships/hyperlink" Target="#ACFCullIncomeInput"/><Relationship Id="rId105" Type="http://schemas.openxmlformats.org/officeDocument/2006/relationships/hyperlink" Target="#ACFSalesBuildInput"/><Relationship Id="rId113" Type="http://schemas.openxmlformats.org/officeDocument/2006/relationships/hyperlink" Target="#ACFVCIrrigationInput"/><Relationship Id="rId118" Type="http://schemas.openxmlformats.org/officeDocument/2006/relationships/hyperlink" Target="#ACFVCVetInput"/><Relationship Id="rId126" Type="http://schemas.openxmlformats.org/officeDocument/2006/relationships/hyperlink" Target="#'Projected Inventory'!InvTProjOtherEntry"/><Relationship Id="rId134" Type="http://schemas.openxmlformats.org/officeDocument/2006/relationships/hyperlink" Target="#ACFFCCarTruckInput"/><Relationship Id="rId8" Type="http://schemas.openxmlformats.org/officeDocument/2006/relationships/hyperlink" Target="#ACFSalesVegFruitInput"/><Relationship Id="rId51" Type="http://schemas.openxmlformats.org/officeDocument/2006/relationships/hyperlink" Target="#ACFDMPrinInput"/><Relationship Id="rId72" Type="http://schemas.openxmlformats.org/officeDocument/2006/relationships/hyperlink" Target="#ACFPDisInsInput"/><Relationship Id="rId80" Type="http://schemas.openxmlformats.org/officeDocument/2006/relationships/hyperlink" Target="#ACFPRecInput"/><Relationship Id="rId85" Type="http://schemas.openxmlformats.org/officeDocument/2006/relationships/hyperlink" Target="#ACFDMFCIntInput"/><Relationship Id="rId93" Type="http://schemas.openxmlformats.org/officeDocument/2006/relationships/image" Target="../media/image14.png"/><Relationship Id="rId98" Type="http://schemas.openxmlformats.org/officeDocument/2006/relationships/hyperlink" Target="#ACFDMSalesFarmstandInput"/><Relationship Id="rId121" Type="http://schemas.openxmlformats.org/officeDocument/2006/relationships/hyperlink" Target="#ACFVCGovProgInput"/><Relationship Id="rId3" Type="http://schemas.openxmlformats.org/officeDocument/2006/relationships/image" Target="../media/image13.png"/><Relationship Id="rId12" Type="http://schemas.openxmlformats.org/officeDocument/2006/relationships/hyperlink" Target="#ACFVCLaborInput"/><Relationship Id="rId17" Type="http://schemas.openxmlformats.org/officeDocument/2006/relationships/hyperlink" Target="#ACFVCRepairsInput"/><Relationship Id="rId25" Type="http://schemas.openxmlformats.org/officeDocument/2006/relationships/hyperlink" Target="#ACFFCPropTaxInput"/><Relationship Id="rId33" Type="http://schemas.openxmlformats.org/officeDocument/2006/relationships/hyperlink" Target="#ACFDMOthInput"/><Relationship Id="rId38" Type="http://schemas.openxmlformats.org/officeDocument/2006/relationships/hyperlink" Target="#ACFDMVCShipInput"/><Relationship Id="rId46" Type="http://schemas.openxmlformats.org/officeDocument/2006/relationships/hyperlink" Target="#ACFDMFCPermitsInput"/><Relationship Id="rId59" Type="http://schemas.openxmlformats.org/officeDocument/2006/relationships/hyperlink" Target="#ACFPInsInput"/><Relationship Id="rId67" Type="http://schemas.openxmlformats.org/officeDocument/2006/relationships/hyperlink" Target="#ACFPOthPayInput"/><Relationship Id="rId103" Type="http://schemas.openxmlformats.org/officeDocument/2006/relationships/hyperlink" Target="#ACFNetHedgingInput"/><Relationship Id="rId108" Type="http://schemas.openxmlformats.org/officeDocument/2006/relationships/hyperlink" Target="#ACFVCFertilizerInput"/><Relationship Id="rId116" Type="http://schemas.openxmlformats.org/officeDocument/2006/relationships/hyperlink" Target="#ACFVCFeederLivestockInput"/><Relationship Id="rId124" Type="http://schemas.openxmlformats.org/officeDocument/2006/relationships/hyperlink" Target="#ACFVCUtilInput"/><Relationship Id="rId129" Type="http://schemas.openxmlformats.org/officeDocument/2006/relationships/hyperlink" Target="#ACFPPersVehPurchInput"/><Relationship Id="rId137" Type="http://schemas.openxmlformats.org/officeDocument/2006/relationships/hyperlink" Target="http://learn.cffm.umn.edu/Module.aspx?v=1578" TargetMode="External"/><Relationship Id="rId20" Type="http://schemas.openxmlformats.org/officeDocument/2006/relationships/hyperlink" Target="#ACFVCOthInput"/><Relationship Id="rId41" Type="http://schemas.openxmlformats.org/officeDocument/2006/relationships/hyperlink" Target="#ACFDMVCResaleInput"/><Relationship Id="rId54" Type="http://schemas.openxmlformats.org/officeDocument/2006/relationships/hyperlink" Target="#ACFPIntInput"/><Relationship Id="rId62" Type="http://schemas.openxmlformats.org/officeDocument/2006/relationships/hyperlink" Target="#ACFPLoanPayInput"/><Relationship Id="rId70" Type="http://schemas.openxmlformats.org/officeDocument/2006/relationships/hyperlink" Target="#ACFDMNewCredInput"/><Relationship Id="rId75" Type="http://schemas.openxmlformats.org/officeDocument/2006/relationships/hyperlink" Target="#ACFPClothingInput"/><Relationship Id="rId83" Type="http://schemas.openxmlformats.org/officeDocument/2006/relationships/hyperlink" Target="#'Gen Info'!K10"/><Relationship Id="rId88" Type="http://schemas.openxmlformats.org/officeDocument/2006/relationships/hyperlink" Target="#ACFPIncPersREEInputLoan"/><Relationship Id="rId91" Type="http://schemas.openxmlformats.org/officeDocument/2006/relationships/hyperlink" Target="#ACFNewOpInput"/><Relationship Id="rId96" Type="http://schemas.openxmlformats.org/officeDocument/2006/relationships/hyperlink" Target="#ACFDMEtcInput"/><Relationship Id="rId111" Type="http://schemas.openxmlformats.org/officeDocument/2006/relationships/hyperlink" Target="#ACFVCGreenhouseSuppliesInput"/><Relationship Id="rId132" Type="http://schemas.openxmlformats.org/officeDocument/2006/relationships/hyperlink" Target="#MCFDMSalesFarmMktInput"/><Relationship Id="rId1" Type="http://schemas.openxmlformats.org/officeDocument/2006/relationships/image" Target="../media/image9.png"/><Relationship Id="rId6" Type="http://schemas.openxmlformats.org/officeDocument/2006/relationships/hyperlink" Target="#ACFSalesCropsInput"/><Relationship Id="rId15" Type="http://schemas.openxmlformats.org/officeDocument/2006/relationships/hyperlink" Target="#ACFVCFuelInput"/><Relationship Id="rId23" Type="http://schemas.openxmlformats.org/officeDocument/2006/relationships/hyperlink" Target="#ACFFCFarmInsInput"/><Relationship Id="rId28" Type="http://schemas.openxmlformats.org/officeDocument/2006/relationships/hyperlink" Target="#ACFPrinInput"/><Relationship Id="rId36" Type="http://schemas.openxmlformats.org/officeDocument/2006/relationships/hyperlink" Target="#ACFDMVCPackInput"/><Relationship Id="rId49" Type="http://schemas.openxmlformats.org/officeDocument/2006/relationships/hyperlink" Target="#ACFDMFCMiscInput"/><Relationship Id="rId57" Type="http://schemas.openxmlformats.org/officeDocument/2006/relationships/hyperlink" Target="#ACFPFoodInput"/><Relationship Id="rId106" Type="http://schemas.openxmlformats.org/officeDocument/2006/relationships/hyperlink" Target="#'Projected Inventory'!InvTProjCropsEntry"/><Relationship Id="rId114" Type="http://schemas.openxmlformats.org/officeDocument/2006/relationships/hyperlink" Target="#ACFVCCropConsultInput"/><Relationship Id="rId119" Type="http://schemas.openxmlformats.org/officeDocument/2006/relationships/hyperlink" Target="#ACFVCLivestockInsuranceInput"/><Relationship Id="rId127" Type="http://schemas.openxmlformats.org/officeDocument/2006/relationships/hyperlink" Target="#ACFPPersRetirementInput"/><Relationship Id="rId10" Type="http://schemas.openxmlformats.org/officeDocument/2006/relationships/hyperlink" Target="#ACFSalesLivestockInput"/><Relationship Id="rId31" Type="http://schemas.openxmlformats.org/officeDocument/2006/relationships/hyperlink" Target="#ACFDMSalesFarmMktInput"/><Relationship Id="rId44" Type="http://schemas.openxmlformats.org/officeDocument/2006/relationships/hyperlink" Target="#ACFDMFCRentInput"/><Relationship Id="rId52" Type="http://schemas.openxmlformats.org/officeDocument/2006/relationships/hyperlink" Target="#ACFDMEquipSaleInput"/><Relationship Id="rId60" Type="http://schemas.openxmlformats.org/officeDocument/2006/relationships/hyperlink" Target="#ACFPLifeInsInput"/><Relationship Id="rId65" Type="http://schemas.openxmlformats.org/officeDocument/2006/relationships/hyperlink" Target="#ACFPIncTaxInput"/><Relationship Id="rId73" Type="http://schemas.openxmlformats.org/officeDocument/2006/relationships/hyperlink" Target="#ACFPGiftsInput"/><Relationship Id="rId78" Type="http://schemas.openxmlformats.org/officeDocument/2006/relationships/hyperlink" Target="#ACFPChildSupInput"/><Relationship Id="rId81" Type="http://schemas.openxmlformats.org/officeDocument/2006/relationships/hyperlink" Target="#ACFPUtilInput"/><Relationship Id="rId86" Type="http://schemas.openxmlformats.org/officeDocument/2006/relationships/hyperlink" Target="#ACFPIncPersREEInput"/><Relationship Id="rId94" Type="http://schemas.openxmlformats.org/officeDocument/2006/relationships/hyperlink" Target="#ACFSalesLivestockProdInput"/><Relationship Id="rId99" Type="http://schemas.openxmlformats.org/officeDocument/2006/relationships/hyperlink" Target="#ACFDMSalesOtherInput"/><Relationship Id="rId101" Type="http://schemas.openxmlformats.org/officeDocument/2006/relationships/hyperlink" Target="#ACFGovPayInput"/><Relationship Id="rId122" Type="http://schemas.openxmlformats.org/officeDocument/2006/relationships/hyperlink" Target="#ACFVCLivestockMarketingInput"/><Relationship Id="rId130" Type="http://schemas.openxmlformats.org/officeDocument/2006/relationships/hyperlink" Target="#'Projected Inventory'!InvProjCropsEntry"/><Relationship Id="rId135" Type="http://schemas.openxmlformats.org/officeDocument/2006/relationships/hyperlink" Target="#ACFFCConservationInput"/><Relationship Id="rId4" Type="http://schemas.openxmlformats.org/officeDocument/2006/relationships/hyperlink" Target="#HowSell"/><Relationship Id="rId9" Type="http://schemas.openxmlformats.org/officeDocument/2006/relationships/hyperlink" Target="#ACFGainEquipInput"/><Relationship Id="rId13" Type="http://schemas.openxmlformats.org/officeDocument/2006/relationships/hyperlink" Target="#ACFVCDryingInput"/><Relationship Id="rId18" Type="http://schemas.openxmlformats.org/officeDocument/2006/relationships/hyperlink" Target="#ACFVCSeedInput"/><Relationship Id="rId39" Type="http://schemas.openxmlformats.org/officeDocument/2006/relationships/hyperlink" Target="#ACFDMVCUtilInput"/><Relationship Id="rId109" Type="http://schemas.openxmlformats.org/officeDocument/2006/relationships/hyperlink" Target="#ACFVCChemInput"/><Relationship Id="rId34" Type="http://schemas.openxmlformats.org/officeDocument/2006/relationships/hyperlink" Target="#ACFDMVCLaborInput"/><Relationship Id="rId50" Type="http://schemas.openxmlformats.org/officeDocument/2006/relationships/hyperlink" Target="#ACFDMFCOthInput"/><Relationship Id="rId55" Type="http://schemas.openxmlformats.org/officeDocument/2006/relationships/hyperlink" Target="#ACFPInvestInput"/><Relationship Id="rId76" Type="http://schemas.openxmlformats.org/officeDocument/2006/relationships/hyperlink" Target="#ACFPPersCareInput"/><Relationship Id="rId97" Type="http://schemas.openxmlformats.org/officeDocument/2006/relationships/hyperlink" Target="#ACFDMSalesCSAInput"/><Relationship Id="rId104" Type="http://schemas.openxmlformats.org/officeDocument/2006/relationships/hyperlink" Target="#ACFPatronageInput"/><Relationship Id="rId120" Type="http://schemas.openxmlformats.org/officeDocument/2006/relationships/hyperlink" Target="#ACFVCGrazingInput"/><Relationship Id="rId125" Type="http://schemas.openxmlformats.org/officeDocument/2006/relationships/hyperlink" Target="#ACFDMINVChangeInput"/><Relationship Id="rId7" Type="http://schemas.openxmlformats.org/officeDocument/2006/relationships/image" Target="../media/image10.png"/><Relationship Id="rId71" Type="http://schemas.openxmlformats.org/officeDocument/2006/relationships/hyperlink" Target="#ACFDMCapPurchInput"/><Relationship Id="rId92" Type="http://schemas.openxmlformats.org/officeDocument/2006/relationships/hyperlink" Target="#LoanProposedEntry"/><Relationship Id="rId2" Type="http://schemas.openxmlformats.org/officeDocument/2006/relationships/hyperlink" Target="#ProjPersonal"/><Relationship Id="rId29" Type="http://schemas.openxmlformats.org/officeDocument/2006/relationships/hyperlink" Target="#ACFSalesEquipInput"/><Relationship Id="rId24" Type="http://schemas.openxmlformats.org/officeDocument/2006/relationships/hyperlink" Target="#ACFFCProfInput"/><Relationship Id="rId40" Type="http://schemas.openxmlformats.org/officeDocument/2006/relationships/hyperlink" Target="#ACFDMVCColdInput"/><Relationship Id="rId45" Type="http://schemas.openxmlformats.org/officeDocument/2006/relationships/hyperlink" Target="#ACFDMFCPromoInput"/><Relationship Id="rId66" Type="http://schemas.openxmlformats.org/officeDocument/2006/relationships/hyperlink" Target="#ACFPOthPurchInput"/><Relationship Id="rId87" Type="http://schemas.openxmlformats.org/officeDocument/2006/relationships/hyperlink" Target="#ACFPIncPersLoansInput"/><Relationship Id="rId110" Type="http://schemas.openxmlformats.org/officeDocument/2006/relationships/hyperlink" Target="#ACFVCCropInsInput"/><Relationship Id="rId115" Type="http://schemas.openxmlformats.org/officeDocument/2006/relationships/hyperlink" Target="#ACFVCCropMarketingInput"/><Relationship Id="rId131" Type="http://schemas.openxmlformats.org/officeDocument/2006/relationships/hyperlink" Target="#MCFSalesCropsInput"/><Relationship Id="rId136" Type="http://schemas.openxmlformats.org/officeDocument/2006/relationships/hyperlink" Target="#'Schedule F Cash to Accrual'!H8"/><Relationship Id="rId61" Type="http://schemas.openxmlformats.org/officeDocument/2006/relationships/hyperlink" Target="#ACFPVehInput"/><Relationship Id="rId82" Type="http://schemas.openxmlformats.org/officeDocument/2006/relationships/hyperlink" Target="#ACFPPropInsInput"/><Relationship Id="rId19" Type="http://schemas.openxmlformats.org/officeDocument/2006/relationships/hyperlink" Target="#ACFVCTaxesInput"/></Relationships>
</file>

<file path=xl/drawings/_rels/drawing13.xml.rels><?xml version="1.0" encoding="UTF-8" standalone="yes"?>
<Relationships xmlns="http://schemas.openxmlformats.org/package/2006/relationships"><Relationship Id="rId3" Type="http://schemas.openxmlformats.org/officeDocument/2006/relationships/hyperlink" Target="#MCFDMNewCredInput"/><Relationship Id="rId2" Type="http://schemas.openxmlformats.org/officeDocument/2006/relationships/hyperlink" Target="#MCFNewCredInput"/><Relationship Id="rId1" Type="http://schemas.openxmlformats.org/officeDocument/2006/relationships/hyperlink" Target="#'Gen Info'!K10"/><Relationship Id="rId6" Type="http://schemas.openxmlformats.org/officeDocument/2006/relationships/hyperlink" Target="#'Projected Inventory'!InvTProjCropsEntry"/><Relationship Id="rId5" Type="http://schemas.openxmlformats.org/officeDocument/2006/relationships/hyperlink" Target="#'Cash Flows'!D11"/><Relationship Id="rId4" Type="http://schemas.openxmlformats.org/officeDocument/2006/relationships/hyperlink" Target="#MCFPIncPersLoansInputLoan"/></Relationships>
</file>

<file path=xl/drawings/_rels/drawing14.xml.rels><?xml version="1.0" encoding="UTF-8" standalone="yes"?>
<Relationships xmlns="http://schemas.openxmlformats.org/package/2006/relationships"><Relationship Id="rId3" Type="http://schemas.openxmlformats.org/officeDocument/2006/relationships/hyperlink" Target="#'Gen Info'!K10"/><Relationship Id="rId7" Type="http://schemas.openxmlformats.org/officeDocument/2006/relationships/hyperlink" Target="#LoanProposedEntry"/><Relationship Id="rId2" Type="http://schemas.openxmlformats.org/officeDocument/2006/relationships/image" Target="../media/image7.png"/><Relationship Id="rId1" Type="http://schemas.openxmlformats.org/officeDocument/2006/relationships/hyperlink" Target="#MCFINVChangeInput"/><Relationship Id="rId6" Type="http://schemas.openxmlformats.org/officeDocument/2006/relationships/hyperlink" Target="#MCFDMINVChangeInput"/><Relationship Id="rId5" Type="http://schemas.openxmlformats.org/officeDocument/2006/relationships/hyperlink" Target="#'Final Income and Cash Flows'!A1"/><Relationship Id="rId4" Type="http://schemas.openxmlformats.org/officeDocument/2006/relationships/hyperlink" Target="#'Cash Flows'!D10"/></Relationships>
</file>

<file path=xl/drawings/_rels/drawing15.xml.rels><?xml version="1.0" encoding="UTF-8" standalone="yes"?>
<Relationships xmlns="http://schemas.openxmlformats.org/package/2006/relationships"><Relationship Id="rId26" Type="http://schemas.openxmlformats.org/officeDocument/2006/relationships/hyperlink" Target="#MCFDMVCSuppliedInput"/><Relationship Id="rId117" Type="http://schemas.openxmlformats.org/officeDocument/2006/relationships/hyperlink" Target="#MCFVCCropMarketingInput"/><Relationship Id="rId21" Type="http://schemas.openxmlformats.org/officeDocument/2006/relationships/hyperlink" Target="#MCFDMEquipGainInput"/><Relationship Id="rId42" Type="http://schemas.openxmlformats.org/officeDocument/2006/relationships/hyperlink" Target="#MCFPInvestInput"/><Relationship Id="rId47" Type="http://schemas.openxmlformats.org/officeDocument/2006/relationships/hyperlink" Target="#MCFPGiftsInput"/><Relationship Id="rId63" Type="http://schemas.openxmlformats.org/officeDocument/2006/relationships/hyperlink" Target="#MCFPEducationInput"/><Relationship Id="rId68" Type="http://schemas.openxmlformats.org/officeDocument/2006/relationships/hyperlink" Target="#MCFPRETaxesInput"/><Relationship Id="rId84" Type="http://schemas.openxmlformats.org/officeDocument/2006/relationships/hyperlink" Target="#MCFVCDryingInput"/><Relationship Id="rId89" Type="http://schemas.openxmlformats.org/officeDocument/2006/relationships/hyperlink" Target="#MCFDMEquipSaleInput"/><Relationship Id="rId112" Type="http://schemas.openxmlformats.org/officeDocument/2006/relationships/hyperlink" Target="#MCFVCCropInsInput"/><Relationship Id="rId133" Type="http://schemas.openxmlformats.org/officeDocument/2006/relationships/hyperlink" Target="#MCFPPersCapPurchInput"/><Relationship Id="rId138" Type="http://schemas.openxmlformats.org/officeDocument/2006/relationships/hyperlink" Target="#MCFPIncInheritInput"/><Relationship Id="rId16" Type="http://schemas.openxmlformats.org/officeDocument/2006/relationships/hyperlink" Target="#MCFVCTaxesInput"/><Relationship Id="rId107" Type="http://schemas.openxmlformats.org/officeDocument/2006/relationships/hyperlink" Target="#MCFFCPermitInput"/><Relationship Id="rId11" Type="http://schemas.openxmlformats.org/officeDocument/2006/relationships/hyperlink" Target="#MCFVesleaseInput"/><Relationship Id="rId32" Type="http://schemas.openxmlformats.org/officeDocument/2006/relationships/hyperlink" Target="#MCFDMFCRentInput"/><Relationship Id="rId37" Type="http://schemas.openxmlformats.org/officeDocument/2006/relationships/hyperlink" Target="#MCFDMFCMiscInput"/><Relationship Id="rId53" Type="http://schemas.openxmlformats.org/officeDocument/2006/relationships/hyperlink" Target="#MCFPOthPurchInput"/><Relationship Id="rId58" Type="http://schemas.openxmlformats.org/officeDocument/2006/relationships/hyperlink" Target="#MCFPLifeInsInput"/><Relationship Id="rId74" Type="http://schemas.openxmlformats.org/officeDocument/2006/relationships/hyperlink" Target="#MCFPIncPersLoansInput"/><Relationship Id="rId79" Type="http://schemas.openxmlformats.org/officeDocument/2006/relationships/hyperlink" Target="#MCFVCRepairsInput"/><Relationship Id="rId102" Type="http://schemas.openxmlformats.org/officeDocument/2006/relationships/hyperlink" Target="#MCFFCProfInput"/><Relationship Id="rId123" Type="http://schemas.openxmlformats.org/officeDocument/2006/relationships/hyperlink" Target="#MCFVCGovProgInput"/><Relationship Id="rId128" Type="http://schemas.openxmlformats.org/officeDocument/2006/relationships/chart" Target="../charts/chart5.xml"/><Relationship Id="rId5" Type="http://schemas.openxmlformats.org/officeDocument/2006/relationships/chart" Target="../charts/chart2.xml"/><Relationship Id="rId90" Type="http://schemas.openxmlformats.org/officeDocument/2006/relationships/hyperlink" Target="#MCFSalesLivestockProdInput"/><Relationship Id="rId95" Type="http://schemas.openxmlformats.org/officeDocument/2006/relationships/hyperlink" Target="#MCFGainEquipInput"/><Relationship Id="rId22" Type="http://schemas.openxmlformats.org/officeDocument/2006/relationships/hyperlink" Target="#MCFDMOthInput"/><Relationship Id="rId27" Type="http://schemas.openxmlformats.org/officeDocument/2006/relationships/hyperlink" Target="#MCFDMVCShippingInput"/><Relationship Id="rId43" Type="http://schemas.openxmlformats.org/officeDocument/2006/relationships/hyperlink" Target="#MCFPOthInput"/><Relationship Id="rId48" Type="http://schemas.openxmlformats.org/officeDocument/2006/relationships/hyperlink" Target="#MCFPChildSupportInput"/><Relationship Id="rId64" Type="http://schemas.openxmlformats.org/officeDocument/2006/relationships/hyperlink" Target="#MCFPRecInput"/><Relationship Id="rId69" Type="http://schemas.openxmlformats.org/officeDocument/2006/relationships/image" Target="../media/image9.png"/><Relationship Id="rId113" Type="http://schemas.openxmlformats.org/officeDocument/2006/relationships/hyperlink" Target="#MCFVCGreenhouseSuppliesInput"/><Relationship Id="rId118" Type="http://schemas.openxmlformats.org/officeDocument/2006/relationships/hyperlink" Target="#MCFVCFeederLivestockInput"/><Relationship Id="rId134" Type="http://schemas.openxmlformats.org/officeDocument/2006/relationships/hyperlink" Target="#MCFPPersVehPurchInput"/><Relationship Id="rId139" Type="http://schemas.openxmlformats.org/officeDocument/2006/relationships/hyperlink" Target="#'Schedule F Cash to Accrual'!H8"/><Relationship Id="rId8" Type="http://schemas.openxmlformats.org/officeDocument/2006/relationships/hyperlink" Target="#MCFSalesCropsInput"/><Relationship Id="rId51" Type="http://schemas.openxmlformats.org/officeDocument/2006/relationships/hyperlink" Target="#MCFPIncTaxInput"/><Relationship Id="rId72" Type="http://schemas.openxmlformats.org/officeDocument/2006/relationships/hyperlink" Target="#MCFDMFCIntInput"/><Relationship Id="rId80" Type="http://schemas.openxmlformats.org/officeDocument/2006/relationships/hyperlink" Target="#MCFVCLivestockSuppliesInput"/><Relationship Id="rId85" Type="http://schemas.openxmlformats.org/officeDocument/2006/relationships/hyperlink" Target="#MCFDMVCResaleInput"/><Relationship Id="rId93" Type="http://schemas.openxmlformats.org/officeDocument/2006/relationships/hyperlink" Target="#MCFCropInsIncInput"/><Relationship Id="rId98" Type="http://schemas.openxmlformats.org/officeDocument/2006/relationships/hyperlink" Target="#MCFFCLandRentInput"/><Relationship Id="rId121" Type="http://schemas.openxmlformats.org/officeDocument/2006/relationships/hyperlink" Target="#MCFVCLivestockInsuranceInput"/><Relationship Id="rId3" Type="http://schemas.openxmlformats.org/officeDocument/2006/relationships/image" Target="../media/image13.png"/><Relationship Id="rId12" Type="http://schemas.openxmlformats.org/officeDocument/2006/relationships/hyperlink" Target="#MCFGainVesInput"/><Relationship Id="rId17" Type="http://schemas.openxmlformats.org/officeDocument/2006/relationships/hyperlink" Target="#MCFPrinInput"/><Relationship Id="rId25" Type="http://schemas.openxmlformats.org/officeDocument/2006/relationships/hyperlink" Target="#MCFDMVCPackInput"/><Relationship Id="rId33" Type="http://schemas.openxmlformats.org/officeDocument/2006/relationships/hyperlink" Target="#MCFDMFCPromoInput"/><Relationship Id="rId38" Type="http://schemas.openxmlformats.org/officeDocument/2006/relationships/hyperlink" Target="#MCFDMFCOthInput"/><Relationship Id="rId46" Type="http://schemas.openxmlformats.org/officeDocument/2006/relationships/hyperlink" Target="#MCFPInsInput"/><Relationship Id="rId59" Type="http://schemas.openxmlformats.org/officeDocument/2006/relationships/hyperlink" Target="#MCFPSupInput"/><Relationship Id="rId67" Type="http://schemas.openxmlformats.org/officeDocument/2006/relationships/hyperlink" Target="#MCFPPropInsInput"/><Relationship Id="rId103" Type="http://schemas.openxmlformats.org/officeDocument/2006/relationships/hyperlink" Target="#MCFFCPropTaxesInput"/><Relationship Id="rId108" Type="http://schemas.openxmlformats.org/officeDocument/2006/relationships/hyperlink" Target="#MCFFCMachLeaseInput"/><Relationship Id="rId116" Type="http://schemas.openxmlformats.org/officeDocument/2006/relationships/hyperlink" Target="#MCFVCCropConsultInput"/><Relationship Id="rId124" Type="http://schemas.openxmlformats.org/officeDocument/2006/relationships/hyperlink" Target="#MCFVCLivestockConsultInput"/><Relationship Id="rId129" Type="http://schemas.openxmlformats.org/officeDocument/2006/relationships/hyperlink" Target="#ACFDMINVChangeInput"/><Relationship Id="rId137" Type="http://schemas.openxmlformats.org/officeDocument/2006/relationships/hyperlink" Target="#MCFFCConservationInput"/><Relationship Id="rId20" Type="http://schemas.openxmlformats.org/officeDocument/2006/relationships/hyperlink" Target="#MCFDMEtcInput"/><Relationship Id="rId41" Type="http://schemas.openxmlformats.org/officeDocument/2006/relationships/hyperlink" Target="#MCFPIntIncInput"/><Relationship Id="rId54" Type="http://schemas.openxmlformats.org/officeDocument/2006/relationships/hyperlink" Target="#MCFPOthPayInput"/><Relationship Id="rId62" Type="http://schemas.openxmlformats.org/officeDocument/2006/relationships/hyperlink" Target="#MCFPChildCareInput"/><Relationship Id="rId70" Type="http://schemas.openxmlformats.org/officeDocument/2006/relationships/hyperlink" Target="#MCFDMNewCredInput"/><Relationship Id="rId75" Type="http://schemas.openxmlformats.org/officeDocument/2006/relationships/hyperlink" Target="#MCFPIncPersREEInputLoan"/><Relationship Id="rId83" Type="http://schemas.openxmlformats.org/officeDocument/2006/relationships/hyperlink" Target="#MCFVCStorageInput"/><Relationship Id="rId88" Type="http://schemas.openxmlformats.org/officeDocument/2006/relationships/hyperlink" Target="#MCFDMSalesOtherInput"/><Relationship Id="rId91" Type="http://schemas.openxmlformats.org/officeDocument/2006/relationships/hyperlink" Target="#MCFCullIncomeInput"/><Relationship Id="rId96" Type="http://schemas.openxmlformats.org/officeDocument/2006/relationships/hyperlink" Target="#MCFIncCustomWorkInput"/><Relationship Id="rId111" Type="http://schemas.openxmlformats.org/officeDocument/2006/relationships/hyperlink" Target="#MCFVCChemInput"/><Relationship Id="rId132" Type="http://schemas.openxmlformats.org/officeDocument/2006/relationships/hyperlink" Target="#MCFPPersRetirementInput"/><Relationship Id="rId140" Type="http://schemas.openxmlformats.org/officeDocument/2006/relationships/hyperlink" Target="#'Cash Flows'!D10"/><Relationship Id="rId1" Type="http://schemas.openxmlformats.org/officeDocument/2006/relationships/image" Target="../media/image15.png"/><Relationship Id="rId6" Type="http://schemas.openxmlformats.org/officeDocument/2006/relationships/chart" Target="../charts/chart3.xml"/><Relationship Id="rId15" Type="http://schemas.openxmlformats.org/officeDocument/2006/relationships/hyperlink" Target="#MCFVCMiscInput"/><Relationship Id="rId23" Type="http://schemas.openxmlformats.org/officeDocument/2006/relationships/hyperlink" Target="#MCFDMVCLaborInput"/><Relationship Id="rId28" Type="http://schemas.openxmlformats.org/officeDocument/2006/relationships/hyperlink" Target="#MCFDMVCUtilInput"/><Relationship Id="rId36" Type="http://schemas.openxmlformats.org/officeDocument/2006/relationships/hyperlink" Target="#MCFDMVCDeprShoreInput"/><Relationship Id="rId49" Type="http://schemas.openxmlformats.org/officeDocument/2006/relationships/hyperlink" Target="#MCFPLoanPayInput"/><Relationship Id="rId57" Type="http://schemas.openxmlformats.org/officeDocument/2006/relationships/hyperlink" Target="#MCFPDisInsInput"/><Relationship Id="rId106" Type="http://schemas.openxmlformats.org/officeDocument/2006/relationships/hyperlink" Target="#MCFFCInterestInput"/><Relationship Id="rId114" Type="http://schemas.openxmlformats.org/officeDocument/2006/relationships/hyperlink" Target="#MCFVCCropSuppliesInput"/><Relationship Id="rId119" Type="http://schemas.openxmlformats.org/officeDocument/2006/relationships/hyperlink" Target="#MCFVCPurchFeedInput"/><Relationship Id="rId127" Type="http://schemas.openxmlformats.org/officeDocument/2006/relationships/hyperlink" Target="#MCFVCUtilInput"/><Relationship Id="rId10" Type="http://schemas.openxmlformats.org/officeDocument/2006/relationships/hyperlink" Target="#MCFOthIncomeInput"/><Relationship Id="rId31" Type="http://schemas.openxmlformats.org/officeDocument/2006/relationships/hyperlink" Target="#MCFDMVCOthInput"/><Relationship Id="rId44" Type="http://schemas.openxmlformats.org/officeDocument/2006/relationships/hyperlink" Target="#MCFPFoodInput"/><Relationship Id="rId52" Type="http://schemas.openxmlformats.org/officeDocument/2006/relationships/hyperlink" Target="#MCFPCharityInput"/><Relationship Id="rId60" Type="http://schemas.openxmlformats.org/officeDocument/2006/relationships/hyperlink" Target="#MCFPClothingInput"/><Relationship Id="rId65" Type="http://schemas.openxmlformats.org/officeDocument/2006/relationships/hyperlink" Target="#MCFPUtilInput"/><Relationship Id="rId73" Type="http://schemas.openxmlformats.org/officeDocument/2006/relationships/hyperlink" Target="#MCFPIncPersREEInput"/><Relationship Id="rId78" Type="http://schemas.openxmlformats.org/officeDocument/2006/relationships/hyperlink" Target="#MCFNewOpInput"/><Relationship Id="rId81" Type="http://schemas.openxmlformats.org/officeDocument/2006/relationships/hyperlink" Target="#MCFVCLaborInput"/><Relationship Id="rId86" Type="http://schemas.openxmlformats.org/officeDocument/2006/relationships/hyperlink" Target="#MCFDMSalesCSAInput"/><Relationship Id="rId94" Type="http://schemas.openxmlformats.org/officeDocument/2006/relationships/hyperlink" Target="#MCFPatronageInput"/><Relationship Id="rId99" Type="http://schemas.openxmlformats.org/officeDocument/2006/relationships/hyperlink" Target="#ACFINVCropChangeTot"/><Relationship Id="rId101" Type="http://schemas.openxmlformats.org/officeDocument/2006/relationships/hyperlink" Target="#MCFFCDeprEquipInput"/><Relationship Id="rId122" Type="http://schemas.openxmlformats.org/officeDocument/2006/relationships/hyperlink" Target="#MCFVCGrazingInput"/><Relationship Id="rId130" Type="http://schemas.openxmlformats.org/officeDocument/2006/relationships/hyperlink" Target="#MCFDMINVChangeInput"/><Relationship Id="rId135" Type="http://schemas.openxmlformats.org/officeDocument/2006/relationships/hyperlink" Target="#Dashboard!A1"/><Relationship Id="rId4" Type="http://schemas.openxmlformats.org/officeDocument/2006/relationships/hyperlink" Target="#HowSell"/><Relationship Id="rId9" Type="http://schemas.openxmlformats.org/officeDocument/2006/relationships/image" Target="../media/image11.emf"/><Relationship Id="rId13" Type="http://schemas.openxmlformats.org/officeDocument/2006/relationships/hyperlink" Target="#MCFSalesVegFruitInput"/><Relationship Id="rId18" Type="http://schemas.openxmlformats.org/officeDocument/2006/relationships/hyperlink" Target="#MCFSalesEquipInput"/><Relationship Id="rId39" Type="http://schemas.openxmlformats.org/officeDocument/2006/relationships/hyperlink" Target="#MCFDMPrinInput"/><Relationship Id="rId109" Type="http://schemas.openxmlformats.org/officeDocument/2006/relationships/hyperlink" Target="#MCFVCOthInput"/><Relationship Id="rId34" Type="http://schemas.openxmlformats.org/officeDocument/2006/relationships/hyperlink" Target="#MCFDMFCPermitsInput"/><Relationship Id="rId50" Type="http://schemas.openxmlformats.org/officeDocument/2006/relationships/hyperlink" Target="#MCFPMortInput"/><Relationship Id="rId55" Type="http://schemas.openxmlformats.org/officeDocument/2006/relationships/hyperlink" Target="#MCFNewCredInput"/><Relationship Id="rId76" Type="http://schemas.openxmlformats.org/officeDocument/2006/relationships/hyperlink" Target="#MCFPIncPersLoansInputLoan"/><Relationship Id="rId97" Type="http://schemas.openxmlformats.org/officeDocument/2006/relationships/hyperlink" Target="#MCFVCFuelInput"/><Relationship Id="rId104" Type="http://schemas.openxmlformats.org/officeDocument/2006/relationships/hyperlink" Target="#MCFFCOthInput"/><Relationship Id="rId120" Type="http://schemas.openxmlformats.org/officeDocument/2006/relationships/hyperlink" Target="#MCFVCVetInput"/><Relationship Id="rId125" Type="http://schemas.openxmlformats.org/officeDocument/2006/relationships/hyperlink" Target="#MCFVCLivestockMarketingInput"/><Relationship Id="rId7" Type="http://schemas.openxmlformats.org/officeDocument/2006/relationships/chart" Target="../charts/chart4.xml"/><Relationship Id="rId71" Type="http://schemas.openxmlformats.org/officeDocument/2006/relationships/hyperlink" Target="#MCFDMCapPurchInput"/><Relationship Id="rId92" Type="http://schemas.openxmlformats.org/officeDocument/2006/relationships/hyperlink" Target="#MCFGovPayInput"/><Relationship Id="rId2" Type="http://schemas.openxmlformats.org/officeDocument/2006/relationships/hyperlink" Target="#ProjPersonal"/><Relationship Id="rId29" Type="http://schemas.openxmlformats.org/officeDocument/2006/relationships/hyperlink" Target="#MCFDMVCColdInput"/><Relationship Id="rId24" Type="http://schemas.openxmlformats.org/officeDocument/2006/relationships/hyperlink" Target="#MCFDMVCInsInput"/><Relationship Id="rId40" Type="http://schemas.openxmlformats.org/officeDocument/2006/relationships/hyperlink" Target="#MCFPWageInput"/><Relationship Id="rId45" Type="http://schemas.openxmlformats.org/officeDocument/2006/relationships/hyperlink" Target="#MCFPMedicalInput"/><Relationship Id="rId66" Type="http://schemas.openxmlformats.org/officeDocument/2006/relationships/hyperlink" Target="#MCFPVehInput"/><Relationship Id="rId87" Type="http://schemas.openxmlformats.org/officeDocument/2006/relationships/hyperlink" Target="#MCFDMSalesFarmstandInput"/><Relationship Id="rId110" Type="http://schemas.openxmlformats.org/officeDocument/2006/relationships/hyperlink" Target="#MCFVCFertilizerInput"/><Relationship Id="rId115" Type="http://schemas.openxmlformats.org/officeDocument/2006/relationships/hyperlink" Target="#MCFVCIrrigationInput"/><Relationship Id="rId131" Type="http://schemas.openxmlformats.org/officeDocument/2006/relationships/hyperlink" Target="#'Financial Scorecard'!A1"/><Relationship Id="rId136" Type="http://schemas.openxmlformats.org/officeDocument/2006/relationships/hyperlink" Target="#MCFFCCarTruckInput"/><Relationship Id="rId61" Type="http://schemas.openxmlformats.org/officeDocument/2006/relationships/hyperlink" Target="#MCFPPersCareInput"/><Relationship Id="rId82" Type="http://schemas.openxmlformats.org/officeDocument/2006/relationships/hyperlink" Target="#MCFVCSeedInput"/><Relationship Id="rId19" Type="http://schemas.openxmlformats.org/officeDocument/2006/relationships/hyperlink" Target="#MCFDMSalesFarmMktInput"/><Relationship Id="rId14" Type="http://schemas.openxmlformats.org/officeDocument/2006/relationships/hyperlink" Target="#MCFSalesLivestockInput"/><Relationship Id="rId30" Type="http://schemas.openxmlformats.org/officeDocument/2006/relationships/hyperlink" Target="#MCFDMVCMktSuppInput"/><Relationship Id="rId35" Type="http://schemas.openxmlformats.org/officeDocument/2006/relationships/hyperlink" Target="#MCFDMFCVehInput"/><Relationship Id="rId56" Type="http://schemas.openxmlformats.org/officeDocument/2006/relationships/hyperlink" Target="#MCFCapPurchEquipInput"/><Relationship Id="rId77" Type="http://schemas.openxmlformats.org/officeDocument/2006/relationships/hyperlink" Target="#MCFDMNewDMOpInput"/><Relationship Id="rId100" Type="http://schemas.openxmlformats.org/officeDocument/2006/relationships/hyperlink" Target="#MCFHedgingInput"/><Relationship Id="rId105" Type="http://schemas.openxmlformats.org/officeDocument/2006/relationships/hyperlink" Target="#MCFFCFarmInsInput"/><Relationship Id="rId126" Type="http://schemas.openxmlformats.org/officeDocument/2006/relationships/hyperlink" Target="#MCFVCCustomHireInput"/></Relationships>
</file>

<file path=xl/drawings/_rels/drawing16.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5.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6.jpg"/><Relationship Id="rId1" Type="http://schemas.openxmlformats.org/officeDocument/2006/relationships/image" Target="../media/image5.png"/></Relationships>
</file>

<file path=xl/drawings/_rels/drawing20.xml.rels><?xml version="1.0" encoding="UTF-8" standalone="yes"?>
<Relationships xmlns="http://schemas.openxmlformats.org/package/2006/relationships"><Relationship Id="rId8" Type="http://schemas.openxmlformats.org/officeDocument/2006/relationships/chart" Target="../charts/chart9.xml"/><Relationship Id="rId13" Type="http://schemas.openxmlformats.org/officeDocument/2006/relationships/chart" Target="../charts/chart14.xml"/><Relationship Id="rId18" Type="http://schemas.openxmlformats.org/officeDocument/2006/relationships/chart" Target="../charts/chart19.xml"/><Relationship Id="rId26" Type="http://schemas.openxmlformats.org/officeDocument/2006/relationships/image" Target="../media/image18.png"/><Relationship Id="rId3" Type="http://schemas.openxmlformats.org/officeDocument/2006/relationships/chart" Target="../charts/chart6.xml"/><Relationship Id="rId21" Type="http://schemas.openxmlformats.org/officeDocument/2006/relationships/hyperlink" Target="#'Gen Info'!K10"/><Relationship Id="rId7" Type="http://schemas.openxmlformats.org/officeDocument/2006/relationships/chart" Target="../charts/chart8.xml"/><Relationship Id="rId12" Type="http://schemas.openxmlformats.org/officeDocument/2006/relationships/chart" Target="../charts/chart13.xml"/><Relationship Id="rId17" Type="http://schemas.openxmlformats.org/officeDocument/2006/relationships/chart" Target="../charts/chart18.xml"/><Relationship Id="rId25" Type="http://schemas.openxmlformats.org/officeDocument/2006/relationships/hyperlink" Target="http://learn.cffm.umn.edu/Module.aspx?v=1581" TargetMode="External"/><Relationship Id="rId2" Type="http://schemas.openxmlformats.org/officeDocument/2006/relationships/image" Target="../media/image13.png"/><Relationship Id="rId16" Type="http://schemas.openxmlformats.org/officeDocument/2006/relationships/chart" Target="../charts/chart17.xml"/><Relationship Id="rId20" Type="http://schemas.openxmlformats.org/officeDocument/2006/relationships/hyperlink" Target="#'Final Income and Cash Flows'!A1"/><Relationship Id="rId1" Type="http://schemas.openxmlformats.org/officeDocument/2006/relationships/hyperlink" Target="#HowSell"/><Relationship Id="rId6" Type="http://schemas.openxmlformats.org/officeDocument/2006/relationships/image" Target="../media/image16.png"/><Relationship Id="rId11" Type="http://schemas.openxmlformats.org/officeDocument/2006/relationships/chart" Target="../charts/chart12.xml"/><Relationship Id="rId24" Type="http://schemas.openxmlformats.org/officeDocument/2006/relationships/image" Target="../media/image17.png"/><Relationship Id="rId5" Type="http://schemas.openxmlformats.org/officeDocument/2006/relationships/hyperlink" Target="http://z.umn.edu/finbincompareagplan" TargetMode="External"/><Relationship Id="rId15" Type="http://schemas.openxmlformats.org/officeDocument/2006/relationships/chart" Target="../charts/chart16.xml"/><Relationship Id="rId23" Type="http://schemas.openxmlformats.org/officeDocument/2006/relationships/hyperlink" Target="http://ifsam.cffm.umn.edu/" TargetMode="External"/><Relationship Id="rId10" Type="http://schemas.openxmlformats.org/officeDocument/2006/relationships/chart" Target="../charts/chart11.xml"/><Relationship Id="rId19" Type="http://schemas.openxmlformats.org/officeDocument/2006/relationships/hyperlink" Target="#Dashboard!A1"/><Relationship Id="rId4" Type="http://schemas.openxmlformats.org/officeDocument/2006/relationships/chart" Target="../charts/chart7.xml"/><Relationship Id="rId9" Type="http://schemas.openxmlformats.org/officeDocument/2006/relationships/chart" Target="../charts/chart10.xml"/><Relationship Id="rId14" Type="http://schemas.openxmlformats.org/officeDocument/2006/relationships/chart" Target="../charts/chart15.xml"/><Relationship Id="rId22" Type="http://schemas.openxmlformats.org/officeDocument/2006/relationships/hyperlink" Target="#'Final Balance Sheet'!A1"/><Relationship Id="rId27" Type="http://schemas.openxmlformats.org/officeDocument/2006/relationships/hyperlink" Target="#'Schedule F Cash to Accrual'!H8"/></Relationships>
</file>

<file path=xl/drawings/_rels/drawing21.xml.rels><?xml version="1.0" encoding="UTF-8" standalone="yes"?>
<Relationships xmlns="http://schemas.openxmlformats.org/package/2006/relationships"><Relationship Id="rId8" Type="http://schemas.openxmlformats.org/officeDocument/2006/relationships/hyperlink" Target="#'Financial Scorecard'!A1"/><Relationship Id="rId13" Type="http://schemas.openxmlformats.org/officeDocument/2006/relationships/hyperlink" Target="#'Schedule F Cash to Accrual'!H8"/><Relationship Id="rId3" Type="http://schemas.openxmlformats.org/officeDocument/2006/relationships/chart" Target="../charts/chart22.xml"/><Relationship Id="rId7" Type="http://schemas.openxmlformats.org/officeDocument/2006/relationships/chart" Target="../charts/chart23.xml"/><Relationship Id="rId12" Type="http://schemas.openxmlformats.org/officeDocument/2006/relationships/image" Target="../media/image20.png"/><Relationship Id="rId2" Type="http://schemas.openxmlformats.org/officeDocument/2006/relationships/chart" Target="../charts/chart21.xml"/><Relationship Id="rId1" Type="http://schemas.openxmlformats.org/officeDocument/2006/relationships/chart" Target="../charts/chart20.xml"/><Relationship Id="rId6" Type="http://schemas.openxmlformats.org/officeDocument/2006/relationships/image" Target="../media/image19.png"/><Relationship Id="rId11" Type="http://schemas.openxmlformats.org/officeDocument/2006/relationships/hyperlink" Target="http://learn.cffm.umn.edu/Module.aspx?v=1580" TargetMode="External"/><Relationship Id="rId5" Type="http://schemas.openxmlformats.org/officeDocument/2006/relationships/image" Target="../media/image17.png"/><Relationship Id="rId10" Type="http://schemas.openxmlformats.org/officeDocument/2006/relationships/hyperlink" Target="#'Gen Info'!K10"/><Relationship Id="rId4" Type="http://schemas.openxmlformats.org/officeDocument/2006/relationships/hyperlink" Target="http://ifsam.cffm.umn.edu/" TargetMode="External"/><Relationship Id="rId9" Type="http://schemas.openxmlformats.org/officeDocument/2006/relationships/hyperlink" Target="#'Final Income and Cash Flows'!A1"/></Relationships>
</file>

<file path=xl/drawings/_rels/drawing22.xml.rels><?xml version="1.0" encoding="UTF-8" standalone="yes"?>
<Relationships xmlns="http://schemas.openxmlformats.org/package/2006/relationships"><Relationship Id="rId1" Type="http://schemas.openxmlformats.org/officeDocument/2006/relationships/image" Target="../media/image15.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5.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5.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5.png"/></Relationships>
</file>

<file path=xl/drawings/_rels/drawing4.xml.rels><?xml version="1.0" encoding="UTF-8" standalone="yes"?>
<Relationships xmlns="http://schemas.openxmlformats.org/package/2006/relationships"><Relationship Id="rId8" Type="http://schemas.openxmlformats.org/officeDocument/2006/relationships/hyperlink" Target="#LoanTCurrEntry"/><Relationship Id="rId13" Type="http://schemas.openxmlformats.org/officeDocument/2006/relationships/hyperlink" Target="#'Final Balance Sheet'!C13"/><Relationship Id="rId18" Type="http://schemas.openxmlformats.org/officeDocument/2006/relationships/hyperlink" Target="#'Final Balance Sheet'!C22"/><Relationship Id="rId26" Type="http://schemas.openxmlformats.org/officeDocument/2006/relationships/hyperlink" Target="#'Final Balance Sheet'!C48"/><Relationship Id="rId3" Type="http://schemas.openxmlformats.org/officeDocument/2006/relationships/hyperlink" Target="#'Final Balance Sheet'!C17"/><Relationship Id="rId21" Type="http://schemas.openxmlformats.org/officeDocument/2006/relationships/hyperlink" Target="#'Final Balance Sheet'!C43"/><Relationship Id="rId7" Type="http://schemas.openxmlformats.org/officeDocument/2006/relationships/hyperlink" Target="#CLAPEntry"/><Relationship Id="rId12" Type="http://schemas.openxmlformats.org/officeDocument/2006/relationships/hyperlink" Target="#'Final Balance Sheet'!C12"/><Relationship Id="rId17" Type="http://schemas.openxmlformats.org/officeDocument/2006/relationships/hyperlink" Target="#'Final Balance Sheet'!C21"/><Relationship Id="rId25" Type="http://schemas.openxmlformats.org/officeDocument/2006/relationships/hyperlink" Target="#'Final Balance Sheet'!C47"/><Relationship Id="rId2" Type="http://schemas.openxmlformats.org/officeDocument/2006/relationships/image" Target="../media/image7.png"/><Relationship Id="rId16" Type="http://schemas.openxmlformats.org/officeDocument/2006/relationships/hyperlink" Target="#'Final Balance Sheet'!C20"/><Relationship Id="rId20" Type="http://schemas.openxmlformats.org/officeDocument/2006/relationships/hyperlink" Target="#'Final Balance Sheet'!C42"/><Relationship Id="rId1" Type="http://schemas.openxmlformats.org/officeDocument/2006/relationships/hyperlink" Target="#'Final Balance Sheet'!C8"/><Relationship Id="rId6" Type="http://schemas.openxmlformats.org/officeDocument/2006/relationships/hyperlink" Target="#'Final Balance Sheet'!A1"/><Relationship Id="rId11" Type="http://schemas.openxmlformats.org/officeDocument/2006/relationships/hyperlink" Target="#'Final Balance Sheet'!C11"/><Relationship Id="rId24" Type="http://schemas.openxmlformats.org/officeDocument/2006/relationships/hyperlink" Target="#'Final Balance Sheet'!C46"/><Relationship Id="rId5" Type="http://schemas.openxmlformats.org/officeDocument/2006/relationships/hyperlink" Target="#'Gen Info'!K10"/><Relationship Id="rId15" Type="http://schemas.openxmlformats.org/officeDocument/2006/relationships/hyperlink" Target="#'Final Balance Sheet'!C19"/><Relationship Id="rId23" Type="http://schemas.openxmlformats.org/officeDocument/2006/relationships/hyperlink" Target="#'Final Balance Sheet'!C45"/><Relationship Id="rId28" Type="http://schemas.openxmlformats.org/officeDocument/2006/relationships/hyperlink" Target="#InvTCropsEntry"/><Relationship Id="rId10" Type="http://schemas.openxmlformats.org/officeDocument/2006/relationships/hyperlink" Target="#'Final Balance Sheet'!C10"/><Relationship Id="rId19" Type="http://schemas.openxmlformats.org/officeDocument/2006/relationships/hyperlink" Target="#'Final Balance Sheet'!C23"/><Relationship Id="rId4" Type="http://schemas.openxmlformats.org/officeDocument/2006/relationships/hyperlink" Target="#'Final Balance Sheet'!C41"/><Relationship Id="rId9" Type="http://schemas.openxmlformats.org/officeDocument/2006/relationships/hyperlink" Target="#'Final Balance Sheet'!C9"/><Relationship Id="rId14" Type="http://schemas.openxmlformats.org/officeDocument/2006/relationships/hyperlink" Target="#'Final Balance Sheet'!C18"/><Relationship Id="rId22" Type="http://schemas.openxmlformats.org/officeDocument/2006/relationships/hyperlink" Target="#'Final Balance Sheet'!C44"/><Relationship Id="rId27" Type="http://schemas.openxmlformats.org/officeDocument/2006/relationships/hyperlink" Target="#'Final Balance Sheet'!C49"/></Relationships>
</file>

<file path=xl/drawings/_rels/drawing5.xml.rels><?xml version="1.0" encoding="UTF-8" standalone="yes"?>
<Relationships xmlns="http://schemas.openxmlformats.org/package/2006/relationships"><Relationship Id="rId8" Type="http://schemas.openxmlformats.org/officeDocument/2006/relationships/hyperlink" Target="#MCFDMINVChangeInput"/><Relationship Id="rId3" Type="http://schemas.openxmlformats.org/officeDocument/2006/relationships/hyperlink" Target="#'Gen Info'!K10"/><Relationship Id="rId7" Type="http://schemas.openxmlformats.org/officeDocument/2006/relationships/hyperlink" Target="#'Final Balance Sheet'!C11"/><Relationship Id="rId2" Type="http://schemas.openxmlformats.org/officeDocument/2006/relationships/image" Target="../media/image7.png"/><Relationship Id="rId1" Type="http://schemas.openxmlformats.org/officeDocument/2006/relationships/hyperlink" Target="#'Final Balance Sheet'!C10"/><Relationship Id="rId6" Type="http://schemas.openxmlformats.org/officeDocument/2006/relationships/hyperlink" Target="#LoanTCurrEntry"/><Relationship Id="rId5" Type="http://schemas.openxmlformats.org/officeDocument/2006/relationships/hyperlink" Target="#CLAPEntry"/><Relationship Id="rId4" Type="http://schemas.openxmlformats.org/officeDocument/2006/relationships/hyperlink" Target="#'Final Balance Sheet'!A1"/><Relationship Id="rId9" Type="http://schemas.openxmlformats.org/officeDocument/2006/relationships/hyperlink" Target="#CACashEntry"/></Relationships>
</file>

<file path=xl/drawings/_rels/drawing6.xml.rels><?xml version="1.0" encoding="UTF-8" standalone="yes"?>
<Relationships xmlns="http://schemas.openxmlformats.org/package/2006/relationships"><Relationship Id="rId8" Type="http://schemas.openxmlformats.org/officeDocument/2006/relationships/hyperlink" Target="#'Final Balance Sheet'!G10"/><Relationship Id="rId13" Type="http://schemas.openxmlformats.org/officeDocument/2006/relationships/hyperlink" Target="#'Final Balance Sheet'!G44"/><Relationship Id="rId3" Type="http://schemas.openxmlformats.org/officeDocument/2006/relationships/hyperlink" Target="#'Final Balance Sheet'!G41"/><Relationship Id="rId7" Type="http://schemas.openxmlformats.org/officeDocument/2006/relationships/hyperlink" Target="#LoanTCurrEntry"/><Relationship Id="rId12" Type="http://schemas.openxmlformats.org/officeDocument/2006/relationships/hyperlink" Target="#'Final Balance Sheet'!G43"/><Relationship Id="rId2" Type="http://schemas.openxmlformats.org/officeDocument/2006/relationships/image" Target="../media/image7.png"/><Relationship Id="rId16" Type="http://schemas.openxmlformats.org/officeDocument/2006/relationships/hyperlink" Target="#InvTCropsEntry"/><Relationship Id="rId1" Type="http://schemas.openxmlformats.org/officeDocument/2006/relationships/hyperlink" Target="#'Final Balance Sheet'!G13"/><Relationship Id="rId6" Type="http://schemas.openxmlformats.org/officeDocument/2006/relationships/hyperlink" Target="#CACashEntry"/><Relationship Id="rId11" Type="http://schemas.openxmlformats.org/officeDocument/2006/relationships/hyperlink" Target="#'Final Balance Sheet'!G22"/><Relationship Id="rId5" Type="http://schemas.openxmlformats.org/officeDocument/2006/relationships/hyperlink" Target="#'Final Balance Sheet'!A1"/><Relationship Id="rId15" Type="http://schemas.openxmlformats.org/officeDocument/2006/relationships/hyperlink" Target="#'Final Balance Sheet'!G12"/><Relationship Id="rId10" Type="http://schemas.openxmlformats.org/officeDocument/2006/relationships/hyperlink" Target="#'Final Balance Sheet'!G14"/><Relationship Id="rId4" Type="http://schemas.openxmlformats.org/officeDocument/2006/relationships/hyperlink" Target="#'Gen Info'!K10"/><Relationship Id="rId9" Type="http://schemas.openxmlformats.org/officeDocument/2006/relationships/hyperlink" Target="#'Final Balance Sheet'!G11"/><Relationship Id="rId14" Type="http://schemas.openxmlformats.org/officeDocument/2006/relationships/hyperlink" Target="#'Final Balance Sheet'!G46"/></Relationships>
</file>

<file path=xl/drawings/_rels/drawing7.xml.rels><?xml version="1.0" encoding="UTF-8" standalone="yes"?>
<Relationships xmlns="http://schemas.openxmlformats.org/package/2006/relationships"><Relationship Id="rId8" Type="http://schemas.openxmlformats.org/officeDocument/2006/relationships/hyperlink" Target="#'Final Balance Sheet'!G18"/><Relationship Id="rId13" Type="http://schemas.openxmlformats.org/officeDocument/2006/relationships/hyperlink" Target="#'Final Balance Sheet'!G21"/><Relationship Id="rId18" Type="http://schemas.openxmlformats.org/officeDocument/2006/relationships/hyperlink" Target="#'Final Balance Sheet'!G25"/><Relationship Id="rId3" Type="http://schemas.openxmlformats.org/officeDocument/2006/relationships/hyperlink" Target="#'Gen Info'!K10"/><Relationship Id="rId7" Type="http://schemas.openxmlformats.org/officeDocument/2006/relationships/hyperlink" Target="#'Final Balance Sheet'!G20"/><Relationship Id="rId12" Type="http://schemas.openxmlformats.org/officeDocument/2006/relationships/hyperlink" Target="#'Final Balance Sheet'!G17"/><Relationship Id="rId17" Type="http://schemas.openxmlformats.org/officeDocument/2006/relationships/hyperlink" Target="#InvTCropsEntry"/><Relationship Id="rId2" Type="http://schemas.openxmlformats.org/officeDocument/2006/relationships/image" Target="../media/image8.png"/><Relationship Id="rId16" Type="http://schemas.openxmlformats.org/officeDocument/2006/relationships/hyperlink" Target="#'Final Balance Sheet'!G24"/><Relationship Id="rId1" Type="http://schemas.openxmlformats.org/officeDocument/2006/relationships/hyperlink" Target="#'Final Balance Sheet'!G8"/><Relationship Id="rId6" Type="http://schemas.openxmlformats.org/officeDocument/2006/relationships/hyperlink" Target="#CLAPEntry"/><Relationship Id="rId11" Type="http://schemas.openxmlformats.org/officeDocument/2006/relationships/hyperlink" Target="#'Final Balance Sheet'!G45"/><Relationship Id="rId5" Type="http://schemas.openxmlformats.org/officeDocument/2006/relationships/hyperlink" Target="#CACashEntry"/><Relationship Id="rId15" Type="http://schemas.openxmlformats.org/officeDocument/2006/relationships/hyperlink" Target="#'Final Balance Sheet'!G23"/><Relationship Id="rId10" Type="http://schemas.openxmlformats.org/officeDocument/2006/relationships/hyperlink" Target="#'Final Balance Sheet'!G42"/><Relationship Id="rId4" Type="http://schemas.openxmlformats.org/officeDocument/2006/relationships/hyperlink" Target="#'Final Balance Sheet'!A1"/><Relationship Id="rId9" Type="http://schemas.openxmlformats.org/officeDocument/2006/relationships/hyperlink" Target="#'Final Balance Sheet'!G19"/><Relationship Id="rId14" Type="http://schemas.openxmlformats.org/officeDocument/2006/relationships/hyperlink" Target="#'Final Balance Sheet'!G22"/></Relationships>
</file>

<file path=xl/drawings/_rels/drawing8.xml.rels><?xml version="1.0" encoding="UTF-8" standalone="yes"?>
<Relationships xmlns="http://schemas.openxmlformats.org/package/2006/relationships"><Relationship Id="rId8" Type="http://schemas.openxmlformats.org/officeDocument/2006/relationships/hyperlink" Target="#ProposedLoans!B6"/><Relationship Id="rId13" Type="http://schemas.openxmlformats.org/officeDocument/2006/relationships/hyperlink" Target="#'Schedule F Entry'!A1"/><Relationship Id="rId3" Type="http://schemas.openxmlformats.org/officeDocument/2006/relationships/hyperlink" Target="#'Cash Flows'!D10"/><Relationship Id="rId7" Type="http://schemas.openxmlformats.org/officeDocument/2006/relationships/hyperlink" Target="http://learn.cffm.umn.edu/Module.aspx?v=1577" TargetMode="External"/><Relationship Id="rId12" Type="http://schemas.openxmlformats.org/officeDocument/2006/relationships/hyperlink" Target="#Dashboard!A1"/><Relationship Id="rId2" Type="http://schemas.openxmlformats.org/officeDocument/2006/relationships/image" Target="../media/image9.png"/><Relationship Id="rId1" Type="http://schemas.openxmlformats.org/officeDocument/2006/relationships/hyperlink" Target="#CACashEntry"/><Relationship Id="rId6" Type="http://schemas.openxmlformats.org/officeDocument/2006/relationships/hyperlink" Target="#LoanTCurrEntry"/><Relationship Id="rId11" Type="http://schemas.openxmlformats.org/officeDocument/2006/relationships/hyperlink" Target="#'Financial Scorecard'!A1"/><Relationship Id="rId5" Type="http://schemas.openxmlformats.org/officeDocument/2006/relationships/hyperlink" Target="#CLAPEntry"/><Relationship Id="rId10" Type="http://schemas.openxmlformats.org/officeDocument/2006/relationships/hyperlink" Target="#InvTCropsEntry"/><Relationship Id="rId4" Type="http://schemas.openxmlformats.org/officeDocument/2006/relationships/hyperlink" Target="#'Gen Info'!K10"/><Relationship Id="rId9" Type="http://schemas.openxmlformats.org/officeDocument/2006/relationships/hyperlink" Target="#'Final Balance Sheet'!A1"/></Relationships>
</file>

<file path=xl/drawings/_rels/drawing9.xml.rels><?xml version="1.0" encoding="UTF-8" standalone="yes"?>
<Relationships xmlns="http://schemas.openxmlformats.org/package/2006/relationships"><Relationship Id="rId3" Type="http://schemas.openxmlformats.org/officeDocument/2006/relationships/hyperlink" Target="#'Schedule F Cash to Accrual'!H8"/><Relationship Id="rId2" Type="http://schemas.openxmlformats.org/officeDocument/2006/relationships/hyperlink" Target="#'Gen Info'!K10"/><Relationship Id="rId1" Type="http://schemas.openxmlformats.org/officeDocument/2006/relationships/image" Target="../media/image9.png"/><Relationship Id="rId6" Type="http://schemas.openxmlformats.org/officeDocument/2006/relationships/hyperlink" Target="#'Schedule F Cash to Accrual'!F18"/><Relationship Id="rId5" Type="http://schemas.openxmlformats.org/officeDocument/2006/relationships/hyperlink" Target="#'Schedule F Cash to Accrual'!F40"/><Relationship Id="rId4" Type="http://schemas.openxmlformats.org/officeDocument/2006/relationships/image" Target="../media/image10.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12</xdr:col>
      <xdr:colOff>57149</xdr:colOff>
      <xdr:row>0</xdr:row>
      <xdr:rowOff>114300</xdr:rowOff>
    </xdr:from>
    <xdr:to>
      <xdr:col>15</xdr:col>
      <xdr:colOff>331469</xdr:colOff>
      <xdr:row>4</xdr:row>
      <xdr:rowOff>30480</xdr:rowOff>
    </xdr:to>
    <xdr:sp macro="[0]!PrintBS_Final" textlink="">
      <xdr:nvSpPr>
        <xdr:cNvPr id="6" name="Rectangle 5">
          <a:hlinkClick xmlns:r="http://schemas.openxmlformats.org/officeDocument/2006/relationships" r:id="rId1" tooltip="Go to Balance Sheet Data Entry"/>
          <a:extLst>
            <a:ext uri="{FF2B5EF4-FFF2-40B4-BE49-F238E27FC236}">
              <a16:creationId xmlns:a16="http://schemas.microsoft.com/office/drawing/2014/main" id="{00000000-0008-0000-0000-000006000000}"/>
            </a:ext>
          </a:extLst>
        </xdr:cNvPr>
        <xdr:cNvSpPr/>
      </xdr:nvSpPr>
      <xdr:spPr>
        <a:xfrm>
          <a:off x="6781799" y="114300"/>
          <a:ext cx="2103120" cy="640080"/>
        </a:xfrm>
        <a:prstGeom prst="rect">
          <a:avLst/>
        </a:prstGeom>
        <a:solidFill>
          <a:srgbClr val="8CC05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ln>
                <a:noFill/>
              </a:ln>
            </a:rPr>
            <a:t>Go</a:t>
          </a:r>
          <a:r>
            <a:rPr lang="en-US" sz="1400" b="1" baseline="0">
              <a:ln>
                <a:noFill/>
              </a:ln>
            </a:rPr>
            <a:t> to </a:t>
          </a:r>
          <a:r>
            <a:rPr lang="en-US" sz="1400" b="1">
              <a:ln>
                <a:noFill/>
              </a:ln>
            </a:rPr>
            <a:t>Balance </a:t>
          </a:r>
        </a:p>
        <a:p>
          <a:pPr algn="ctr"/>
          <a:r>
            <a:rPr lang="en-US" sz="1400" b="1">
              <a:ln>
                <a:noFill/>
              </a:ln>
            </a:rPr>
            <a:t>Sheet Data Entry</a:t>
          </a:r>
        </a:p>
      </xdr:txBody>
    </xdr:sp>
    <xdr:clientData/>
  </xdr:twoCellAnchor>
  <xdr:twoCellAnchor>
    <xdr:from>
      <xdr:col>12</xdr:col>
      <xdr:colOff>57149</xdr:colOff>
      <xdr:row>4</xdr:row>
      <xdr:rowOff>57150</xdr:rowOff>
    </xdr:from>
    <xdr:to>
      <xdr:col>15</xdr:col>
      <xdr:colOff>331469</xdr:colOff>
      <xdr:row>7</xdr:row>
      <xdr:rowOff>97155</xdr:rowOff>
    </xdr:to>
    <xdr:sp macro="[0]!PrintBS_Final" textlink="">
      <xdr:nvSpPr>
        <xdr:cNvPr id="8" name="Rectangle 7">
          <a:hlinkClick xmlns:r="http://schemas.openxmlformats.org/officeDocument/2006/relationships" r:id="rId2" tooltip="Go to Printable Balance Sheet"/>
          <a:extLst>
            <a:ext uri="{FF2B5EF4-FFF2-40B4-BE49-F238E27FC236}">
              <a16:creationId xmlns:a16="http://schemas.microsoft.com/office/drawing/2014/main" id="{00000000-0008-0000-0000-000008000000}"/>
            </a:ext>
          </a:extLst>
        </xdr:cNvPr>
        <xdr:cNvSpPr/>
      </xdr:nvSpPr>
      <xdr:spPr>
        <a:xfrm>
          <a:off x="6781799" y="781050"/>
          <a:ext cx="2103120" cy="640080"/>
        </a:xfrm>
        <a:prstGeom prst="rect">
          <a:avLst/>
        </a:prstGeom>
        <a:solidFill>
          <a:srgbClr val="8CC05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Go</a:t>
          </a:r>
          <a:r>
            <a:rPr lang="en-US" sz="1400" b="1" baseline="0"/>
            <a:t> to </a:t>
          </a:r>
          <a:r>
            <a:rPr lang="en-US" sz="1400" b="1"/>
            <a:t>Final (Printable)</a:t>
          </a:r>
        </a:p>
        <a:p>
          <a:pPr algn="ctr"/>
          <a:r>
            <a:rPr lang="en-US" sz="1400" b="1"/>
            <a:t>Balance Sheet</a:t>
          </a:r>
        </a:p>
      </xdr:txBody>
    </xdr:sp>
    <xdr:clientData/>
  </xdr:twoCellAnchor>
  <mc:AlternateContent xmlns:mc="http://schemas.openxmlformats.org/markup-compatibility/2006">
    <mc:Choice xmlns:a14="http://schemas.microsoft.com/office/drawing/2010/main" Requires="a14">
      <xdr:twoCellAnchor editAs="oneCell">
        <xdr:from>
          <xdr:col>9</xdr:col>
          <xdr:colOff>276225</xdr:colOff>
          <xdr:row>16</xdr:row>
          <xdr:rowOff>0</xdr:rowOff>
        </xdr:from>
        <xdr:to>
          <xdr:col>11</xdr:col>
          <xdr:colOff>9525</xdr:colOff>
          <xdr:row>17</xdr:row>
          <xdr:rowOff>9525</xdr:rowOff>
        </xdr:to>
        <xdr:sp macro="" textlink="">
          <xdr:nvSpPr>
            <xdr:cNvPr id="1027" name="Drop Dow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18</xdr:row>
          <xdr:rowOff>9525</xdr:rowOff>
        </xdr:from>
        <xdr:to>
          <xdr:col>11</xdr:col>
          <xdr:colOff>9525</xdr:colOff>
          <xdr:row>19</xdr:row>
          <xdr:rowOff>0</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editAs="absolute">
    <xdr:from>
      <xdr:col>12</xdr:col>
      <xdr:colOff>57149</xdr:colOff>
      <xdr:row>11</xdr:row>
      <xdr:rowOff>3</xdr:rowOff>
    </xdr:from>
    <xdr:to>
      <xdr:col>15</xdr:col>
      <xdr:colOff>331469</xdr:colOff>
      <xdr:row>14</xdr:row>
      <xdr:rowOff>78108</xdr:rowOff>
    </xdr:to>
    <xdr:sp macro="[0]!PrintBS_Final" textlink="">
      <xdr:nvSpPr>
        <xdr:cNvPr id="9" name="Rectangle 8">
          <a:hlinkClick xmlns:r="http://schemas.openxmlformats.org/officeDocument/2006/relationships" r:id="rId3" tooltip="Go to Income Statement &amp; Cash Flow Plan"/>
          <a:extLst>
            <a:ext uri="{FF2B5EF4-FFF2-40B4-BE49-F238E27FC236}">
              <a16:creationId xmlns:a16="http://schemas.microsoft.com/office/drawing/2014/main" id="{00000000-0008-0000-0000-000009000000}"/>
            </a:ext>
          </a:extLst>
        </xdr:cNvPr>
        <xdr:cNvSpPr/>
      </xdr:nvSpPr>
      <xdr:spPr>
        <a:xfrm>
          <a:off x="6781799" y="2124078"/>
          <a:ext cx="2103120" cy="640080"/>
        </a:xfrm>
        <a:prstGeom prst="rect">
          <a:avLst/>
        </a:prstGeom>
        <a:solidFill>
          <a:srgbClr val="4A89DC"/>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Go</a:t>
          </a:r>
          <a:r>
            <a:rPr lang="en-US" sz="1400" b="1" baseline="0"/>
            <a:t> to Income Statement &amp;  Cash Flow Plan</a:t>
          </a:r>
          <a:endParaRPr lang="en-US" sz="1400" b="1"/>
        </a:p>
      </xdr:txBody>
    </xdr:sp>
    <xdr:clientData/>
  </xdr:twoCellAnchor>
  <xdr:twoCellAnchor>
    <xdr:from>
      <xdr:col>12</xdr:col>
      <xdr:colOff>57149</xdr:colOff>
      <xdr:row>14</xdr:row>
      <xdr:rowOff>133355</xdr:rowOff>
    </xdr:from>
    <xdr:to>
      <xdr:col>15</xdr:col>
      <xdr:colOff>331469</xdr:colOff>
      <xdr:row>17</xdr:row>
      <xdr:rowOff>78321</xdr:rowOff>
    </xdr:to>
    <xdr:sp macro="[0]!PrintBS_Final" textlink="">
      <xdr:nvSpPr>
        <xdr:cNvPr id="18" name="Rectangle 17">
          <a:hlinkClick xmlns:r="http://schemas.openxmlformats.org/officeDocument/2006/relationships" r:id="rId4" tooltip="Go to Online Help Video"/>
          <a:extLst>
            <a:ext uri="{FF2B5EF4-FFF2-40B4-BE49-F238E27FC236}">
              <a16:creationId xmlns:a16="http://schemas.microsoft.com/office/drawing/2014/main" id="{00000000-0008-0000-0000-000012000000}"/>
            </a:ext>
          </a:extLst>
        </xdr:cNvPr>
        <xdr:cNvSpPr/>
      </xdr:nvSpPr>
      <xdr:spPr>
        <a:xfrm>
          <a:off x="6781799" y="2819405"/>
          <a:ext cx="2103120" cy="773641"/>
        </a:xfrm>
        <a:prstGeom prst="rect">
          <a:avLst/>
        </a:prstGeom>
        <a:solidFill>
          <a:srgbClr val="F37321"/>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View the</a:t>
          </a:r>
          <a:r>
            <a:rPr lang="en-US" sz="1400" b="1" baseline="0"/>
            <a:t> "Getting Started" help video </a:t>
          </a:r>
        </a:p>
        <a:p>
          <a:pPr algn="ctr"/>
          <a:r>
            <a:rPr lang="en-US" sz="1400" b="1" baseline="0"/>
            <a:t>(opens browser)</a:t>
          </a:r>
          <a:endParaRPr lang="en-US" sz="1400" b="1"/>
        </a:p>
      </xdr:txBody>
    </xdr:sp>
    <xdr:clientData/>
  </xdr:twoCellAnchor>
  <xdr:twoCellAnchor editAs="oneCell">
    <xdr:from>
      <xdr:col>0</xdr:col>
      <xdr:colOff>0</xdr:colOff>
      <xdr:row>4</xdr:row>
      <xdr:rowOff>140797</xdr:rowOff>
    </xdr:from>
    <xdr:to>
      <xdr:col>5</xdr:col>
      <xdr:colOff>104774</xdr:colOff>
      <xdr:row>9</xdr:row>
      <xdr:rowOff>30652</xdr:rowOff>
    </xdr:to>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864697"/>
          <a:ext cx="2619374" cy="889980"/>
        </a:xfrm>
        <a:prstGeom prst="rect">
          <a:avLst/>
        </a:prstGeom>
      </xdr:spPr>
    </xdr:pic>
    <xdr:clientData/>
  </xdr:twoCellAnchor>
  <xdr:twoCellAnchor editAs="oneCell">
    <xdr:from>
      <xdr:col>0</xdr:col>
      <xdr:colOff>95251</xdr:colOff>
      <xdr:row>25</xdr:row>
      <xdr:rowOff>152400</xdr:rowOff>
    </xdr:from>
    <xdr:to>
      <xdr:col>4</xdr:col>
      <xdr:colOff>404453</xdr:colOff>
      <xdr:row>30</xdr:row>
      <xdr:rowOff>147447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5251" y="5600700"/>
          <a:ext cx="2376127" cy="804672"/>
        </a:xfrm>
        <a:prstGeom prst="rect">
          <a:avLst/>
        </a:prstGeom>
      </xdr:spPr>
    </xdr:pic>
    <xdr:clientData/>
  </xdr:twoCellAnchor>
  <xdr:twoCellAnchor>
    <xdr:from>
      <xdr:col>12</xdr:col>
      <xdr:colOff>46566</xdr:colOff>
      <xdr:row>20</xdr:row>
      <xdr:rowOff>134407</xdr:rowOff>
    </xdr:from>
    <xdr:to>
      <xdr:col>15</xdr:col>
      <xdr:colOff>320886</xdr:colOff>
      <xdr:row>23</xdr:row>
      <xdr:rowOff>119378</xdr:rowOff>
    </xdr:to>
    <xdr:sp macro="[0]!PrintBS_Final" textlink="">
      <xdr:nvSpPr>
        <xdr:cNvPr id="15" name="Rectangle 14">
          <a:hlinkClick xmlns:r="http://schemas.openxmlformats.org/officeDocument/2006/relationships" r:id="rId7" tooltip="Go to the Financial Scorecard"/>
          <a:extLst>
            <a:ext uri="{FF2B5EF4-FFF2-40B4-BE49-F238E27FC236}">
              <a16:creationId xmlns:a16="http://schemas.microsoft.com/office/drawing/2014/main" id="{00000000-0008-0000-0000-00000F000000}"/>
            </a:ext>
          </a:extLst>
        </xdr:cNvPr>
        <xdr:cNvSpPr/>
      </xdr:nvSpPr>
      <xdr:spPr>
        <a:xfrm>
          <a:off x="6771216" y="4306357"/>
          <a:ext cx="2103120" cy="632671"/>
        </a:xfrm>
        <a:prstGeom prst="rect">
          <a:avLst/>
        </a:prstGeom>
        <a:solidFill>
          <a:schemeClr val="accent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ln w="6350">
                <a:noFill/>
              </a:ln>
              <a:solidFill>
                <a:schemeClr val="bg1"/>
              </a:solidFill>
            </a:rPr>
            <a:t>Go</a:t>
          </a:r>
          <a:r>
            <a:rPr lang="en-US" sz="1400" b="1" baseline="0">
              <a:ln w="6350">
                <a:noFill/>
              </a:ln>
              <a:solidFill>
                <a:schemeClr val="bg1"/>
              </a:solidFill>
            </a:rPr>
            <a:t> to Financial Scorecard</a:t>
          </a:r>
          <a:endParaRPr lang="en-US" sz="1400" b="1">
            <a:ln w="6350">
              <a:noFill/>
            </a:ln>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9</xdr:col>
          <xdr:colOff>276225</xdr:colOff>
          <xdr:row>13</xdr:row>
          <xdr:rowOff>190500</xdr:rowOff>
        </xdr:from>
        <xdr:to>
          <xdr:col>11</xdr:col>
          <xdr:colOff>9525</xdr:colOff>
          <xdr:row>15</xdr:row>
          <xdr:rowOff>0</xdr:rowOff>
        </xdr:to>
        <xdr:sp macro="" textlink="">
          <xdr:nvSpPr>
            <xdr:cNvPr id="1031" name="NumbOperatorsDropDown"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12</xdr:col>
      <xdr:colOff>57149</xdr:colOff>
      <xdr:row>17</xdr:row>
      <xdr:rowOff>114302</xdr:rowOff>
    </xdr:from>
    <xdr:to>
      <xdr:col>15</xdr:col>
      <xdr:colOff>331469</xdr:colOff>
      <xdr:row>20</xdr:row>
      <xdr:rowOff>92924</xdr:rowOff>
    </xdr:to>
    <xdr:sp macro="[0]!PrintBS_Final" textlink="">
      <xdr:nvSpPr>
        <xdr:cNvPr id="14" name="Rectangle 13">
          <a:hlinkClick xmlns:r="http://schemas.openxmlformats.org/officeDocument/2006/relationships" r:id="rId8" tooltip="Go to the Financial Scorecard"/>
          <a:extLst>
            <a:ext uri="{FF2B5EF4-FFF2-40B4-BE49-F238E27FC236}">
              <a16:creationId xmlns:a16="http://schemas.microsoft.com/office/drawing/2014/main" id="{00000000-0008-0000-0000-00000E000000}"/>
            </a:ext>
          </a:extLst>
        </xdr:cNvPr>
        <xdr:cNvSpPr/>
      </xdr:nvSpPr>
      <xdr:spPr>
        <a:xfrm>
          <a:off x="6781799" y="3629027"/>
          <a:ext cx="2103120" cy="635847"/>
        </a:xfrm>
        <a:prstGeom prst="rect">
          <a:avLst/>
        </a:prstGeom>
        <a:solidFill>
          <a:schemeClr val="accent4"/>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ln>
                <a:noFill/>
              </a:ln>
            </a:rPr>
            <a:t>Go</a:t>
          </a:r>
          <a:r>
            <a:rPr lang="en-US" sz="1400" b="1" baseline="0">
              <a:ln>
                <a:noFill/>
              </a:ln>
            </a:rPr>
            <a:t> to Financial Dashboard</a:t>
          </a:r>
          <a:endParaRPr lang="en-US" sz="1400" b="1">
            <a:ln>
              <a:noFill/>
            </a:ln>
          </a:endParaRPr>
        </a:p>
      </xdr:txBody>
    </xdr:sp>
    <xdr:clientData/>
  </xdr:twoCellAnchor>
  <xdr:twoCellAnchor editAs="oneCell">
    <xdr:from>
      <xdr:col>10</xdr:col>
      <xdr:colOff>171450</xdr:colOff>
      <xdr:row>25</xdr:row>
      <xdr:rowOff>152400</xdr:rowOff>
    </xdr:from>
    <xdr:to>
      <xdr:col>16</xdr:col>
      <xdr:colOff>447675</xdr:colOff>
      <xdr:row>30</xdr:row>
      <xdr:rowOff>136043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4676775" y="5600700"/>
          <a:ext cx="4933950" cy="793268"/>
        </a:xfrm>
        <a:prstGeom prst="rect">
          <a:avLst/>
        </a:prstGeom>
      </xdr:spPr>
    </xdr:pic>
    <xdr:clientData/>
  </xdr:twoCellAnchor>
  <xdr:twoCellAnchor editAs="oneCell">
    <xdr:from>
      <xdr:col>5</xdr:col>
      <xdr:colOff>57150</xdr:colOff>
      <xdr:row>25</xdr:row>
      <xdr:rowOff>152400</xdr:rowOff>
    </xdr:from>
    <xdr:to>
      <xdr:col>10</xdr:col>
      <xdr:colOff>104775</xdr:colOff>
      <xdr:row>31</xdr:row>
      <xdr:rowOff>19050</xdr:rowOff>
    </xdr:to>
    <xdr:pic>
      <xdr:nvPicPr>
        <xdr:cNvPr id="16" name="Picture 15" descr="usda_nifa_c_rgb_72">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571750" y="5600700"/>
          <a:ext cx="2038350" cy="83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57148</xdr:colOff>
      <xdr:row>7</xdr:row>
      <xdr:rowOff>123825</xdr:rowOff>
    </xdr:from>
    <xdr:to>
      <xdr:col>15</xdr:col>
      <xdr:colOff>331468</xdr:colOff>
      <xdr:row>10</xdr:row>
      <xdr:rowOff>163830</xdr:rowOff>
    </xdr:to>
    <xdr:sp macro="[0]!PrintBS_Final" textlink="">
      <xdr:nvSpPr>
        <xdr:cNvPr id="17" name="Rectangle 16">
          <a:hlinkClick xmlns:r="http://schemas.openxmlformats.org/officeDocument/2006/relationships" r:id="rId11" tooltip="Go to General Info"/>
          <a:extLst>
            <a:ext uri="{FF2B5EF4-FFF2-40B4-BE49-F238E27FC236}">
              <a16:creationId xmlns:a16="http://schemas.microsoft.com/office/drawing/2014/main" id="{00000000-0008-0000-0000-000011000000}"/>
            </a:ext>
          </a:extLst>
        </xdr:cNvPr>
        <xdr:cNvSpPr/>
      </xdr:nvSpPr>
      <xdr:spPr>
        <a:xfrm>
          <a:off x="6781798" y="1447800"/>
          <a:ext cx="2103120" cy="640080"/>
        </a:xfrm>
        <a:prstGeom prst="rect">
          <a:avLst/>
        </a:prstGeom>
        <a:solidFill>
          <a:srgbClr val="FF0000"/>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Go to Schedule</a:t>
          </a:r>
          <a:br>
            <a:rPr lang="en-US" sz="1400" b="1"/>
          </a:br>
          <a:r>
            <a:rPr lang="en-US" sz="1400" b="1"/>
            <a:t> F Analysis</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142876</xdr:colOff>
      <xdr:row>0</xdr:row>
      <xdr:rowOff>104775</xdr:rowOff>
    </xdr:from>
    <xdr:to>
      <xdr:col>1</xdr:col>
      <xdr:colOff>782956</xdr:colOff>
      <xdr:row>3</xdr:row>
      <xdr:rowOff>125730</xdr:rowOff>
    </xdr:to>
    <xdr:pic>
      <xdr:nvPicPr>
        <xdr:cNvPr id="2" name="Picture 1">
          <a:extLst>
            <a:ext uri="{FF2B5EF4-FFF2-40B4-BE49-F238E27FC236}">
              <a16:creationId xmlns:a16="http://schemas.microsoft.com/office/drawing/2014/main" id="{00000000-0008-0000-0900-000002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5276" y="104775"/>
          <a:ext cx="640080" cy="640080"/>
        </a:xfrm>
        <a:prstGeom prst="rect">
          <a:avLst/>
        </a:prstGeom>
      </xdr:spPr>
    </xdr:pic>
    <xdr:clientData/>
  </xdr:twoCellAnchor>
  <xdr:twoCellAnchor editAs="oneCell">
    <xdr:from>
      <xdr:col>9</xdr:col>
      <xdr:colOff>60198</xdr:colOff>
      <xdr:row>15</xdr:row>
      <xdr:rowOff>152400</xdr:rowOff>
    </xdr:from>
    <xdr:to>
      <xdr:col>11</xdr:col>
      <xdr:colOff>436245</xdr:colOff>
      <xdr:row>18</xdr:row>
      <xdr:rowOff>99604</xdr:rowOff>
    </xdr:to>
    <xdr:sp macro="[0]!PrintBS_Final" textlink="">
      <xdr:nvSpPr>
        <xdr:cNvPr id="3" name="Rectangle 2">
          <a:hlinkClick xmlns:r="http://schemas.openxmlformats.org/officeDocument/2006/relationships" r:id="rId2" tooltip="Go to Income Statement &amp; Cash Flow Plan"/>
          <a:extLst>
            <a:ext uri="{FF2B5EF4-FFF2-40B4-BE49-F238E27FC236}">
              <a16:creationId xmlns:a16="http://schemas.microsoft.com/office/drawing/2014/main" id="{00000000-0008-0000-0900-000003000000}"/>
            </a:ext>
          </a:extLst>
        </xdr:cNvPr>
        <xdr:cNvSpPr/>
      </xdr:nvSpPr>
      <xdr:spPr>
        <a:xfrm>
          <a:off x="7108698" y="3067050"/>
          <a:ext cx="1719072" cy="556804"/>
        </a:xfrm>
        <a:prstGeom prst="rect">
          <a:avLst/>
        </a:prstGeom>
        <a:solidFill>
          <a:srgbClr val="4A89DC"/>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7. Go</a:t>
          </a:r>
          <a:r>
            <a:rPr lang="en-US" sz="1400" b="1" baseline="0"/>
            <a:t> to </a:t>
          </a:r>
          <a:r>
            <a:rPr lang="en-US" sz="1400" b="1"/>
            <a:t>Cash Flow Plan</a:t>
          </a:r>
        </a:p>
      </xdr:txBody>
    </xdr:sp>
    <xdr:clientData fPrintsWithSheet="0"/>
  </xdr:twoCellAnchor>
  <xdr:twoCellAnchor editAs="oneCell">
    <xdr:from>
      <xdr:col>9</xdr:col>
      <xdr:colOff>61912</xdr:colOff>
      <xdr:row>1</xdr:row>
      <xdr:rowOff>38100</xdr:rowOff>
    </xdr:from>
    <xdr:to>
      <xdr:col>11</xdr:col>
      <xdr:colOff>437959</xdr:colOff>
      <xdr:row>3</xdr:row>
      <xdr:rowOff>129540</xdr:rowOff>
    </xdr:to>
    <xdr:sp macro="[0]!PrintBS_Final" textlink="">
      <xdr:nvSpPr>
        <xdr:cNvPr id="4" name="Rectangle 3">
          <a:hlinkClick xmlns:r="http://schemas.openxmlformats.org/officeDocument/2006/relationships" r:id="rId3" tooltip="Go to General Info"/>
          <a:extLst>
            <a:ext uri="{FF2B5EF4-FFF2-40B4-BE49-F238E27FC236}">
              <a16:creationId xmlns:a16="http://schemas.microsoft.com/office/drawing/2014/main" id="{00000000-0008-0000-0900-000004000000}"/>
            </a:ext>
          </a:extLst>
        </xdr:cNvPr>
        <xdr:cNvSpPr/>
      </xdr:nvSpPr>
      <xdr:spPr>
        <a:xfrm>
          <a:off x="7834312" y="200025"/>
          <a:ext cx="1719072" cy="548640"/>
        </a:xfrm>
        <a:prstGeom prst="rect">
          <a:avLst/>
        </a:prstGeom>
        <a:solidFill>
          <a:srgbClr val="F37321"/>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Go</a:t>
          </a:r>
          <a:r>
            <a:rPr lang="en-US" sz="1400" b="1" baseline="0"/>
            <a:t> to Gen Info</a:t>
          </a:r>
          <a:endParaRPr lang="en-US" sz="1400" b="1"/>
        </a:p>
      </xdr:txBody>
    </xdr:sp>
    <xdr:clientData fPrintsWithSheet="0"/>
  </xdr:twoCellAnchor>
  <xdr:twoCellAnchor>
    <xdr:from>
      <xdr:col>9</xdr:col>
      <xdr:colOff>60198</xdr:colOff>
      <xdr:row>4</xdr:row>
      <xdr:rowOff>76200</xdr:rowOff>
    </xdr:from>
    <xdr:to>
      <xdr:col>11</xdr:col>
      <xdr:colOff>432054</xdr:colOff>
      <xdr:row>8</xdr:row>
      <xdr:rowOff>87249</xdr:rowOff>
    </xdr:to>
    <xdr:sp macro="[0]!PrintBS_Final" textlink="">
      <xdr:nvSpPr>
        <xdr:cNvPr id="5" name="Rectangle 4">
          <a:hlinkClick xmlns:r="http://schemas.openxmlformats.org/officeDocument/2006/relationships" r:id="rId4" tooltip="Go to Balance Sheet Simple Data Entry"/>
          <a:extLst>
            <a:ext uri="{FF2B5EF4-FFF2-40B4-BE49-F238E27FC236}">
              <a16:creationId xmlns:a16="http://schemas.microsoft.com/office/drawing/2014/main" id="{00000000-0008-0000-0900-000005000000}"/>
            </a:ext>
          </a:extLst>
        </xdr:cNvPr>
        <xdr:cNvSpPr/>
      </xdr:nvSpPr>
      <xdr:spPr>
        <a:xfrm>
          <a:off x="7108698" y="885825"/>
          <a:ext cx="1714881" cy="649224"/>
        </a:xfrm>
        <a:prstGeom prst="rect">
          <a:avLst/>
        </a:prstGeom>
        <a:solidFill>
          <a:srgbClr val="8CC05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5. Go</a:t>
          </a:r>
          <a:r>
            <a:rPr lang="en-US" sz="1400" b="1" baseline="0"/>
            <a:t> to </a:t>
          </a:r>
          <a:r>
            <a:rPr lang="en-US" sz="1400" b="1"/>
            <a:t>Final Balance</a:t>
          </a:r>
          <a:r>
            <a:rPr lang="en-US" sz="1400" b="1" baseline="0"/>
            <a:t> Sheet</a:t>
          </a:r>
          <a:endParaRPr lang="en-US" sz="1400" b="1"/>
        </a:p>
      </xdr:txBody>
    </xdr:sp>
    <xdr:clientData fPrintsWithSheet="0"/>
  </xdr:twoCellAnchor>
  <mc:AlternateContent xmlns:mc="http://schemas.openxmlformats.org/markup-compatibility/2006">
    <mc:Choice xmlns:a14="http://schemas.microsoft.com/office/drawing/2010/main" Requires="a14">
      <xdr:twoCellAnchor editAs="oneCell">
        <xdr:from>
          <xdr:col>6</xdr:col>
          <xdr:colOff>676275</xdr:colOff>
          <xdr:row>13</xdr:row>
          <xdr:rowOff>19050</xdr:rowOff>
        </xdr:from>
        <xdr:to>
          <xdr:col>6</xdr:col>
          <xdr:colOff>840867</xdr:colOff>
          <xdr:row>13</xdr:row>
          <xdr:rowOff>178879</xdr:rowOff>
        </xdr:to>
        <xdr:pic>
          <xdr:nvPicPr>
            <xdr:cNvPr id="6" name="Picture 5">
              <a:hlinkClick xmlns:r="http://schemas.openxmlformats.org/officeDocument/2006/relationships" r:id="rId5" tooltip="Go to other information input"/>
              <a:extLst>
                <a:ext uri="{FF2B5EF4-FFF2-40B4-BE49-F238E27FC236}">
                  <a16:creationId xmlns:a16="http://schemas.microsoft.com/office/drawing/2014/main" id="{00000000-0008-0000-0900-000006000000}"/>
                </a:ext>
              </a:extLst>
            </xdr:cNvPr>
            <xdr:cNvPicPr>
              <a:picLocks noChangeAspect="1"/>
              <a:extLst>
                <a:ext uri="{84589F7E-364E-4C9E-8A38-B11213B215E9}">
                  <a14:cameraTool cellRange="Picture" spid="_x0000_s238199"/>
                </a:ext>
              </a:extLst>
            </xdr:cNvPicPr>
          </xdr:nvPicPr>
          <xdr:blipFill>
            <a:blip xmlns:r="http://schemas.openxmlformats.org/officeDocument/2006/relationships" r:embed="rId6"/>
            <a:stretch>
              <a:fillRect/>
            </a:stretch>
          </xdr:blipFill>
          <xdr:spPr>
            <a:xfrm>
              <a:off x="5547632" y="2452007"/>
              <a:ext cx="164592" cy="159829"/>
            </a:xfrm>
            <a:prstGeom prst="rect">
              <a:avLst/>
            </a:prstGeom>
          </xdr:spPr>
        </xdr:pic>
        <xdr:clientData fPrintsWithSheet="0"/>
      </xdr:twoCellAnchor>
    </mc:Choice>
    <mc:Fallback/>
  </mc:AlternateContent>
  <xdr:twoCellAnchor editAs="oneCell">
    <xdr:from>
      <xdr:col>14</xdr:col>
      <xdr:colOff>3314700</xdr:colOff>
      <xdr:row>7</xdr:row>
      <xdr:rowOff>38100</xdr:rowOff>
    </xdr:from>
    <xdr:to>
      <xdr:col>14</xdr:col>
      <xdr:colOff>3451860</xdr:colOff>
      <xdr:row>7</xdr:row>
      <xdr:rowOff>175260</xdr:rowOff>
    </xdr:to>
    <xdr:pic>
      <xdr:nvPicPr>
        <xdr:cNvPr id="7" name="Picture 6">
          <a:hlinkClick xmlns:r="http://schemas.openxmlformats.org/officeDocument/2006/relationships" r:id="rId7" tooltip="Go back to worksheet"/>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4020800" y="1447800"/>
          <a:ext cx="137160" cy="137160"/>
        </a:xfrm>
        <a:prstGeom prst="rect">
          <a:avLst/>
        </a:prstGeom>
      </xdr:spPr>
    </xdr:pic>
    <xdr:clientData fPrintsWithSheet="0"/>
  </xdr:twoCellAnchor>
  <mc:AlternateContent xmlns:mc="http://schemas.openxmlformats.org/markup-compatibility/2006">
    <mc:Choice xmlns:a14="http://schemas.microsoft.com/office/drawing/2010/main" Requires="a14">
      <xdr:twoCellAnchor editAs="oneCell">
        <xdr:from>
          <xdr:col>2</xdr:col>
          <xdr:colOff>685800</xdr:colOff>
          <xdr:row>20</xdr:row>
          <xdr:rowOff>28575</xdr:rowOff>
        </xdr:from>
        <xdr:to>
          <xdr:col>3</xdr:col>
          <xdr:colOff>2667</xdr:colOff>
          <xdr:row>20</xdr:row>
          <xdr:rowOff>188404</xdr:rowOff>
        </xdr:to>
        <xdr:pic>
          <xdr:nvPicPr>
            <xdr:cNvPr id="8" name="Picture 7">
              <a:hlinkClick xmlns:r="http://schemas.openxmlformats.org/officeDocument/2006/relationships" r:id="rId9" tooltip="Go to other information input"/>
              <a:extLst>
                <a:ext uri="{FF2B5EF4-FFF2-40B4-BE49-F238E27FC236}">
                  <a16:creationId xmlns:a16="http://schemas.microsoft.com/office/drawing/2014/main" id="{00000000-0008-0000-0900-000008000000}"/>
                </a:ext>
              </a:extLst>
            </xdr:cNvPr>
            <xdr:cNvPicPr>
              <a:picLocks noChangeAspect="1"/>
              <a:extLst>
                <a:ext uri="{84589F7E-364E-4C9E-8A38-B11213B215E9}">
                  <a14:cameraTool cellRange="Picture" spid="_x0000_s238200"/>
                </a:ext>
              </a:extLst>
            </xdr:cNvPicPr>
          </xdr:nvPicPr>
          <xdr:blipFill>
            <a:blip xmlns:r="http://schemas.openxmlformats.org/officeDocument/2006/relationships" r:embed="rId6"/>
            <a:stretch>
              <a:fillRect/>
            </a:stretch>
          </xdr:blipFill>
          <xdr:spPr>
            <a:xfrm>
              <a:off x="2390775" y="4029075"/>
              <a:ext cx="164592" cy="159829"/>
            </a:xfrm>
            <a:prstGeom prst="rect">
              <a:avLst/>
            </a:prstGeom>
          </xdr:spPr>
        </xdr:pic>
        <xdr:clientData fPrintsWithSheet="0"/>
      </xdr:twoCellAnchor>
    </mc:Choice>
    <mc:Fallback/>
  </mc:AlternateContent>
  <xdr:twoCellAnchor editAs="oneCell">
    <xdr:from>
      <xdr:col>14</xdr:col>
      <xdr:colOff>3314700</xdr:colOff>
      <xdr:row>9</xdr:row>
      <xdr:rowOff>38100</xdr:rowOff>
    </xdr:from>
    <xdr:to>
      <xdr:col>14</xdr:col>
      <xdr:colOff>3451860</xdr:colOff>
      <xdr:row>9</xdr:row>
      <xdr:rowOff>175260</xdr:rowOff>
    </xdr:to>
    <xdr:pic>
      <xdr:nvPicPr>
        <xdr:cNvPr id="9" name="Picture 8">
          <a:hlinkClick xmlns:r="http://schemas.openxmlformats.org/officeDocument/2006/relationships" r:id="rId10" tooltip="Go back to worksheet"/>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4020800" y="1838325"/>
          <a:ext cx="137160" cy="137160"/>
        </a:xfrm>
        <a:prstGeom prst="rect">
          <a:avLst/>
        </a:prstGeom>
      </xdr:spPr>
    </xdr:pic>
    <xdr:clientData fPrintsWithSheet="0"/>
  </xdr:twoCellAnchor>
  <xdr:twoCellAnchor editAs="oneCell">
    <xdr:from>
      <xdr:col>14</xdr:col>
      <xdr:colOff>3314700</xdr:colOff>
      <xdr:row>11</xdr:row>
      <xdr:rowOff>28575</xdr:rowOff>
    </xdr:from>
    <xdr:to>
      <xdr:col>14</xdr:col>
      <xdr:colOff>3451860</xdr:colOff>
      <xdr:row>11</xdr:row>
      <xdr:rowOff>165735</xdr:rowOff>
    </xdr:to>
    <xdr:pic>
      <xdr:nvPicPr>
        <xdr:cNvPr id="10" name="Picture 9">
          <a:hlinkClick xmlns:r="http://schemas.openxmlformats.org/officeDocument/2006/relationships" r:id="rId11" tooltip="Go back to worksheet"/>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4020800" y="2228850"/>
          <a:ext cx="137160" cy="137160"/>
        </a:xfrm>
        <a:prstGeom prst="rect">
          <a:avLst/>
        </a:prstGeom>
      </xdr:spPr>
    </xdr:pic>
    <xdr:clientData fPrintsWithSheet="0"/>
  </xdr:twoCellAnchor>
  <mc:AlternateContent xmlns:mc="http://schemas.openxmlformats.org/markup-compatibility/2006">
    <mc:Choice xmlns:a14="http://schemas.microsoft.com/office/drawing/2010/main" Requires="a14">
      <xdr:twoCellAnchor editAs="oneCell">
        <xdr:from>
          <xdr:col>6</xdr:col>
          <xdr:colOff>676275</xdr:colOff>
          <xdr:row>26</xdr:row>
          <xdr:rowOff>28575</xdr:rowOff>
        </xdr:from>
        <xdr:to>
          <xdr:col>6</xdr:col>
          <xdr:colOff>840867</xdr:colOff>
          <xdr:row>26</xdr:row>
          <xdr:rowOff>188404</xdr:rowOff>
        </xdr:to>
        <xdr:pic>
          <xdr:nvPicPr>
            <xdr:cNvPr id="11" name="Picture 10">
              <a:hlinkClick xmlns:r="http://schemas.openxmlformats.org/officeDocument/2006/relationships" r:id="rId12" tooltip="Go to other information input"/>
              <a:extLst>
                <a:ext uri="{FF2B5EF4-FFF2-40B4-BE49-F238E27FC236}">
                  <a16:creationId xmlns:a16="http://schemas.microsoft.com/office/drawing/2014/main" id="{00000000-0008-0000-0900-00000B000000}"/>
                </a:ext>
              </a:extLst>
            </xdr:cNvPr>
            <xdr:cNvPicPr>
              <a:picLocks noChangeAspect="1"/>
              <a:extLst>
                <a:ext uri="{84589F7E-364E-4C9E-8A38-B11213B215E9}">
                  <a14:cameraTool cellRange="Picture" spid="_x0000_s238201"/>
                </a:ext>
              </a:extLst>
            </xdr:cNvPicPr>
          </xdr:nvPicPr>
          <xdr:blipFill>
            <a:blip xmlns:r="http://schemas.openxmlformats.org/officeDocument/2006/relationships" r:embed="rId6"/>
            <a:stretch>
              <a:fillRect/>
            </a:stretch>
          </xdr:blipFill>
          <xdr:spPr>
            <a:xfrm>
              <a:off x="5547632" y="4861832"/>
              <a:ext cx="164592" cy="159829"/>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39</xdr:row>
          <xdr:rowOff>38100</xdr:rowOff>
        </xdr:from>
        <xdr:to>
          <xdr:col>4</xdr:col>
          <xdr:colOff>174117</xdr:colOff>
          <xdr:row>39</xdr:row>
          <xdr:rowOff>197929</xdr:rowOff>
        </xdr:to>
        <xdr:pic>
          <xdr:nvPicPr>
            <xdr:cNvPr id="12" name="Picture 11">
              <a:hlinkClick xmlns:r="http://schemas.openxmlformats.org/officeDocument/2006/relationships" r:id="rId13" tooltip="Go to other information input"/>
              <a:extLst>
                <a:ext uri="{FF2B5EF4-FFF2-40B4-BE49-F238E27FC236}">
                  <a16:creationId xmlns:a16="http://schemas.microsoft.com/office/drawing/2014/main" id="{00000000-0008-0000-0900-00000C000000}"/>
                </a:ext>
              </a:extLst>
            </xdr:cNvPr>
            <xdr:cNvPicPr>
              <a:picLocks noChangeAspect="1"/>
              <a:extLst>
                <a:ext uri="{84589F7E-364E-4C9E-8A38-B11213B215E9}">
                  <a14:cameraTool cellRange="Picture" spid="_x0000_s238202"/>
                </a:ext>
              </a:extLst>
            </xdr:cNvPicPr>
          </xdr:nvPicPr>
          <xdr:blipFill>
            <a:blip xmlns:r="http://schemas.openxmlformats.org/officeDocument/2006/relationships" r:embed="rId6"/>
            <a:stretch>
              <a:fillRect/>
            </a:stretch>
          </xdr:blipFill>
          <xdr:spPr>
            <a:xfrm>
              <a:off x="3409950" y="7677150"/>
              <a:ext cx="164592" cy="159829"/>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39</xdr:row>
          <xdr:rowOff>38100</xdr:rowOff>
        </xdr:from>
        <xdr:to>
          <xdr:col>4</xdr:col>
          <xdr:colOff>840867</xdr:colOff>
          <xdr:row>39</xdr:row>
          <xdr:rowOff>197929</xdr:rowOff>
        </xdr:to>
        <xdr:pic>
          <xdr:nvPicPr>
            <xdr:cNvPr id="13" name="Picture 12">
              <a:hlinkClick xmlns:r="http://schemas.openxmlformats.org/officeDocument/2006/relationships" r:id="rId14" tooltip="Go to other information input"/>
              <a:extLst>
                <a:ext uri="{FF2B5EF4-FFF2-40B4-BE49-F238E27FC236}">
                  <a16:creationId xmlns:a16="http://schemas.microsoft.com/office/drawing/2014/main" id="{00000000-0008-0000-0900-00000D000000}"/>
                </a:ext>
              </a:extLst>
            </xdr:cNvPr>
            <xdr:cNvPicPr>
              <a:picLocks noChangeAspect="1"/>
              <a:extLst>
                <a:ext uri="{84589F7E-364E-4C9E-8A38-B11213B215E9}">
                  <a14:cameraTool cellRange="Picture" spid="_x0000_s238203"/>
                </a:ext>
              </a:extLst>
            </xdr:cNvPicPr>
          </xdr:nvPicPr>
          <xdr:blipFill>
            <a:blip xmlns:r="http://schemas.openxmlformats.org/officeDocument/2006/relationships" r:embed="rId6"/>
            <a:stretch>
              <a:fillRect/>
            </a:stretch>
          </xdr:blipFill>
          <xdr:spPr>
            <a:xfrm>
              <a:off x="4076700" y="7677150"/>
              <a:ext cx="164592" cy="159829"/>
            </a:xfrm>
            <a:prstGeom prst="rect">
              <a:avLst/>
            </a:prstGeom>
          </xdr:spPr>
        </xdr:pic>
        <xdr:clientData fPrintsWithSheet="0"/>
      </xdr:twoCellAnchor>
    </mc:Choice>
    <mc:Fallback/>
  </mc:AlternateContent>
  <xdr:twoCellAnchor editAs="oneCell">
    <xdr:from>
      <xdr:col>14</xdr:col>
      <xdr:colOff>3314700</xdr:colOff>
      <xdr:row>21</xdr:row>
      <xdr:rowOff>28575</xdr:rowOff>
    </xdr:from>
    <xdr:to>
      <xdr:col>14</xdr:col>
      <xdr:colOff>3451860</xdr:colOff>
      <xdr:row>21</xdr:row>
      <xdr:rowOff>165735</xdr:rowOff>
    </xdr:to>
    <xdr:pic>
      <xdr:nvPicPr>
        <xdr:cNvPr id="14" name="Picture 13">
          <a:hlinkClick xmlns:r="http://schemas.openxmlformats.org/officeDocument/2006/relationships" r:id="rId15" tooltip="Go back to worksheet"/>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4020800" y="3238500"/>
          <a:ext cx="137160" cy="137160"/>
        </a:xfrm>
        <a:prstGeom prst="rect">
          <a:avLst/>
        </a:prstGeom>
      </xdr:spPr>
    </xdr:pic>
    <xdr:clientData fPrintsWithSheet="0"/>
  </xdr:twoCellAnchor>
  <xdr:twoCellAnchor editAs="oneCell">
    <xdr:from>
      <xdr:col>14</xdr:col>
      <xdr:colOff>3314700</xdr:colOff>
      <xdr:row>22</xdr:row>
      <xdr:rowOff>47625</xdr:rowOff>
    </xdr:from>
    <xdr:to>
      <xdr:col>14</xdr:col>
      <xdr:colOff>3451860</xdr:colOff>
      <xdr:row>22</xdr:row>
      <xdr:rowOff>184785</xdr:rowOff>
    </xdr:to>
    <xdr:pic>
      <xdr:nvPicPr>
        <xdr:cNvPr id="15" name="Picture 14">
          <a:hlinkClick xmlns:r="http://schemas.openxmlformats.org/officeDocument/2006/relationships" r:id="rId16" tooltip="Go back to worksheet"/>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4020800" y="3448050"/>
          <a:ext cx="137160" cy="137160"/>
        </a:xfrm>
        <a:prstGeom prst="rect">
          <a:avLst/>
        </a:prstGeom>
      </xdr:spPr>
    </xdr:pic>
    <xdr:clientData fPrintsWithSheet="0"/>
  </xdr:twoCellAnchor>
  <xdr:twoCellAnchor editAs="oneCell">
    <xdr:from>
      <xdr:col>14</xdr:col>
      <xdr:colOff>3314700</xdr:colOff>
      <xdr:row>24</xdr:row>
      <xdr:rowOff>28575</xdr:rowOff>
    </xdr:from>
    <xdr:to>
      <xdr:col>14</xdr:col>
      <xdr:colOff>3451860</xdr:colOff>
      <xdr:row>24</xdr:row>
      <xdr:rowOff>165735</xdr:rowOff>
    </xdr:to>
    <xdr:pic>
      <xdr:nvPicPr>
        <xdr:cNvPr id="16" name="Picture 15">
          <a:hlinkClick xmlns:r="http://schemas.openxmlformats.org/officeDocument/2006/relationships" r:id="rId17" tooltip="Go back to worksheet"/>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4020800" y="3829050"/>
          <a:ext cx="137160" cy="137160"/>
        </a:xfrm>
        <a:prstGeom prst="rect">
          <a:avLst/>
        </a:prstGeom>
      </xdr:spPr>
    </xdr:pic>
    <xdr:clientData fPrintsWithSheet="0"/>
  </xdr:twoCellAnchor>
  <xdr:twoCellAnchor editAs="oneCell">
    <xdr:from>
      <xdr:col>14</xdr:col>
      <xdr:colOff>3314700</xdr:colOff>
      <xdr:row>29</xdr:row>
      <xdr:rowOff>47625</xdr:rowOff>
    </xdr:from>
    <xdr:to>
      <xdr:col>14</xdr:col>
      <xdr:colOff>3451860</xdr:colOff>
      <xdr:row>29</xdr:row>
      <xdr:rowOff>184785</xdr:rowOff>
    </xdr:to>
    <xdr:pic>
      <xdr:nvPicPr>
        <xdr:cNvPr id="17" name="Picture 16">
          <a:hlinkClick xmlns:r="http://schemas.openxmlformats.org/officeDocument/2006/relationships" r:id="rId18" tooltip="Go back to worksheet"/>
          <a:extLst>
            <a:ext uri="{FF2B5EF4-FFF2-40B4-BE49-F238E27FC236}">
              <a16:creationId xmlns:a16="http://schemas.microsoft.com/office/drawing/2014/main" id="{00000000-0008-0000-0900-000011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4020800" y="4857750"/>
          <a:ext cx="137160" cy="137160"/>
        </a:xfrm>
        <a:prstGeom prst="rect">
          <a:avLst/>
        </a:prstGeom>
      </xdr:spPr>
    </xdr:pic>
    <xdr:clientData fPrintsWithSheet="0"/>
  </xdr:twoCellAnchor>
  <xdr:twoCellAnchor editAs="oneCell">
    <xdr:from>
      <xdr:col>14</xdr:col>
      <xdr:colOff>3314700</xdr:colOff>
      <xdr:row>30</xdr:row>
      <xdr:rowOff>57150</xdr:rowOff>
    </xdr:from>
    <xdr:to>
      <xdr:col>14</xdr:col>
      <xdr:colOff>3451860</xdr:colOff>
      <xdr:row>30</xdr:row>
      <xdr:rowOff>194310</xdr:rowOff>
    </xdr:to>
    <xdr:pic>
      <xdr:nvPicPr>
        <xdr:cNvPr id="18" name="Picture 17">
          <a:hlinkClick xmlns:r="http://schemas.openxmlformats.org/officeDocument/2006/relationships" r:id="rId19" tooltip="Go back to worksheet"/>
          <a:extLst>
            <a:ext uri="{FF2B5EF4-FFF2-40B4-BE49-F238E27FC236}">
              <a16:creationId xmlns:a16="http://schemas.microsoft.com/office/drawing/2014/main" id="{00000000-0008-0000-0900-000012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4020800" y="5067300"/>
          <a:ext cx="137160" cy="137160"/>
        </a:xfrm>
        <a:prstGeom prst="rect">
          <a:avLst/>
        </a:prstGeom>
      </xdr:spPr>
    </xdr:pic>
    <xdr:clientData fPrintsWithSheet="0"/>
  </xdr:twoCellAnchor>
  <xdr:twoCellAnchor editAs="oneCell">
    <xdr:from>
      <xdr:col>14</xdr:col>
      <xdr:colOff>3314700</xdr:colOff>
      <xdr:row>32</xdr:row>
      <xdr:rowOff>38100</xdr:rowOff>
    </xdr:from>
    <xdr:to>
      <xdr:col>14</xdr:col>
      <xdr:colOff>3451860</xdr:colOff>
      <xdr:row>32</xdr:row>
      <xdr:rowOff>175260</xdr:rowOff>
    </xdr:to>
    <xdr:pic>
      <xdr:nvPicPr>
        <xdr:cNvPr id="19" name="Picture 18">
          <a:hlinkClick xmlns:r="http://schemas.openxmlformats.org/officeDocument/2006/relationships" r:id="rId20" tooltip="Go back to worksheet"/>
          <a:extLst>
            <a:ext uri="{FF2B5EF4-FFF2-40B4-BE49-F238E27FC236}">
              <a16:creationId xmlns:a16="http://schemas.microsoft.com/office/drawing/2014/main" id="{00000000-0008-0000-0900-000013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4020800" y="5448300"/>
          <a:ext cx="137160" cy="137160"/>
        </a:xfrm>
        <a:prstGeom prst="rect">
          <a:avLst/>
        </a:prstGeom>
      </xdr:spPr>
    </xdr:pic>
    <xdr:clientData fPrintsWithSheet="0"/>
  </xdr:twoCellAnchor>
  <mc:AlternateContent xmlns:mc="http://schemas.openxmlformats.org/markup-compatibility/2006">
    <mc:Choice xmlns:a14="http://schemas.microsoft.com/office/drawing/2010/main" Requires="a14">
      <xdr:twoCellAnchor editAs="oneCell">
        <xdr:from>
          <xdr:col>6</xdr:col>
          <xdr:colOff>676275</xdr:colOff>
          <xdr:row>7</xdr:row>
          <xdr:rowOff>0</xdr:rowOff>
        </xdr:from>
        <xdr:to>
          <xdr:col>6</xdr:col>
          <xdr:colOff>840867</xdr:colOff>
          <xdr:row>7</xdr:row>
          <xdr:rowOff>159829</xdr:rowOff>
        </xdr:to>
        <xdr:pic>
          <xdr:nvPicPr>
            <xdr:cNvPr id="20" name="Picture 19">
              <a:hlinkClick xmlns:r="http://schemas.openxmlformats.org/officeDocument/2006/relationships" r:id="rId21" tooltip="Go to Schedule F information input"/>
              <a:extLst>
                <a:ext uri="{FF2B5EF4-FFF2-40B4-BE49-F238E27FC236}">
                  <a16:creationId xmlns:a16="http://schemas.microsoft.com/office/drawing/2014/main" id="{00000000-0008-0000-0900-000014000000}"/>
                </a:ext>
              </a:extLst>
            </xdr:cNvPr>
            <xdr:cNvPicPr>
              <a:picLocks noChangeAspect="1"/>
              <a:extLst>
                <a:ext uri="{84589F7E-364E-4C9E-8A38-B11213B215E9}">
                  <a14:cameraTool cellRange="Picture" spid="_x0000_s238204"/>
                </a:ext>
              </a:extLst>
            </xdr:cNvPicPr>
          </xdr:nvPicPr>
          <xdr:blipFill>
            <a:blip xmlns:r="http://schemas.openxmlformats.org/officeDocument/2006/relationships" r:embed="rId6"/>
            <a:stretch>
              <a:fillRect/>
            </a:stretch>
          </xdr:blipFill>
          <xdr:spPr>
            <a:xfrm>
              <a:off x="5547632" y="1235529"/>
              <a:ext cx="164592" cy="159829"/>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658587</xdr:colOff>
          <xdr:row>17</xdr:row>
          <xdr:rowOff>0</xdr:rowOff>
        </xdr:from>
        <xdr:to>
          <xdr:col>4</xdr:col>
          <xdr:colOff>823179</xdr:colOff>
          <xdr:row>17</xdr:row>
          <xdr:rowOff>159829</xdr:rowOff>
        </xdr:to>
        <xdr:pic>
          <xdr:nvPicPr>
            <xdr:cNvPr id="21" name="Picture 20">
              <a:hlinkClick xmlns:r="http://schemas.openxmlformats.org/officeDocument/2006/relationships" r:id="rId22" tooltip="Go to Schedule F information input"/>
              <a:extLst>
                <a:ext uri="{FF2B5EF4-FFF2-40B4-BE49-F238E27FC236}">
                  <a16:creationId xmlns:a16="http://schemas.microsoft.com/office/drawing/2014/main" id="{00000000-0008-0000-0900-000015000000}"/>
                </a:ext>
              </a:extLst>
            </xdr:cNvPr>
            <xdr:cNvPicPr>
              <a:picLocks noChangeAspect="1"/>
              <a:extLst>
                <a:ext uri="{84589F7E-364E-4C9E-8A38-B11213B215E9}">
                  <a14:cameraTool cellRange="Picture" spid="_x0000_s238205"/>
                </a:ext>
              </a:extLst>
            </xdr:cNvPicPr>
          </xdr:nvPicPr>
          <xdr:blipFill>
            <a:blip xmlns:r="http://schemas.openxmlformats.org/officeDocument/2006/relationships" r:embed="rId6"/>
            <a:stretch>
              <a:fillRect/>
            </a:stretch>
          </xdr:blipFill>
          <xdr:spPr>
            <a:xfrm>
              <a:off x="3733801" y="3227614"/>
              <a:ext cx="164592" cy="159829"/>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676275</xdr:colOff>
          <xdr:row>25</xdr:row>
          <xdr:rowOff>38101</xdr:rowOff>
        </xdr:from>
        <xdr:to>
          <xdr:col>6</xdr:col>
          <xdr:colOff>840867</xdr:colOff>
          <xdr:row>25</xdr:row>
          <xdr:rowOff>197930</xdr:rowOff>
        </xdr:to>
        <xdr:pic>
          <xdr:nvPicPr>
            <xdr:cNvPr id="22" name="Picture 21">
              <a:hlinkClick xmlns:r="http://schemas.openxmlformats.org/officeDocument/2006/relationships" r:id="rId23" tooltip="Go to Schedule F information input"/>
              <a:extLst>
                <a:ext uri="{FF2B5EF4-FFF2-40B4-BE49-F238E27FC236}">
                  <a16:creationId xmlns:a16="http://schemas.microsoft.com/office/drawing/2014/main" id="{00000000-0008-0000-0900-000016000000}"/>
                </a:ext>
              </a:extLst>
            </xdr:cNvPr>
            <xdr:cNvPicPr>
              <a:picLocks noChangeAspect="1"/>
              <a:extLst>
                <a:ext uri="{84589F7E-364E-4C9E-8A38-B11213B215E9}">
                  <a14:cameraTool cellRange="Picture" spid="_x0000_s238206"/>
                </a:ext>
              </a:extLst>
            </xdr:cNvPicPr>
          </xdr:nvPicPr>
          <xdr:blipFill>
            <a:blip xmlns:r="http://schemas.openxmlformats.org/officeDocument/2006/relationships" r:embed="rId6"/>
            <a:stretch>
              <a:fillRect/>
            </a:stretch>
          </xdr:blipFill>
          <xdr:spPr>
            <a:xfrm>
              <a:off x="5547632" y="4669972"/>
              <a:ext cx="164592" cy="159829"/>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676275</xdr:colOff>
          <xdr:row>27</xdr:row>
          <xdr:rowOff>0</xdr:rowOff>
        </xdr:from>
        <xdr:to>
          <xdr:col>6</xdr:col>
          <xdr:colOff>840867</xdr:colOff>
          <xdr:row>27</xdr:row>
          <xdr:rowOff>159829</xdr:rowOff>
        </xdr:to>
        <xdr:pic>
          <xdr:nvPicPr>
            <xdr:cNvPr id="23" name="Picture 22">
              <a:hlinkClick xmlns:r="http://schemas.openxmlformats.org/officeDocument/2006/relationships" r:id="rId24" tooltip="Go to Schedule F information input"/>
              <a:extLst>
                <a:ext uri="{FF2B5EF4-FFF2-40B4-BE49-F238E27FC236}">
                  <a16:creationId xmlns:a16="http://schemas.microsoft.com/office/drawing/2014/main" id="{00000000-0008-0000-0900-000017000000}"/>
                </a:ext>
              </a:extLst>
            </xdr:cNvPr>
            <xdr:cNvPicPr>
              <a:picLocks noChangeAspect="1"/>
              <a:extLst>
                <a:ext uri="{84589F7E-364E-4C9E-8A38-B11213B215E9}">
                  <a14:cameraTool cellRange="Picture" spid="_x0000_s238207"/>
                </a:ext>
              </a:extLst>
            </xdr:cNvPicPr>
          </xdr:nvPicPr>
          <xdr:blipFill>
            <a:blip xmlns:r="http://schemas.openxmlformats.org/officeDocument/2006/relationships" r:embed="rId6"/>
            <a:stretch>
              <a:fillRect/>
            </a:stretch>
          </xdr:blipFill>
          <xdr:spPr>
            <a:xfrm>
              <a:off x="5547632" y="5034643"/>
              <a:ext cx="164592" cy="159829"/>
            </a:xfrm>
            <a:prstGeom prst="rect">
              <a:avLst/>
            </a:prstGeom>
          </xdr:spPr>
        </xdr:pic>
        <xdr:clientData fPrintsWithSheet="0"/>
      </xdr:twoCellAnchor>
    </mc:Choice>
    <mc:Fallback/>
  </mc:AlternateContent>
  <xdr:twoCellAnchor editAs="oneCell">
    <xdr:from>
      <xdr:col>9</xdr:col>
      <xdr:colOff>60198</xdr:colOff>
      <xdr:row>8</xdr:row>
      <xdr:rowOff>191861</xdr:rowOff>
    </xdr:from>
    <xdr:to>
      <xdr:col>11</xdr:col>
      <xdr:colOff>435538</xdr:colOff>
      <xdr:row>12</xdr:row>
      <xdr:rowOff>5988</xdr:rowOff>
    </xdr:to>
    <xdr:sp macro="[0]!PrintBS_Final" textlink="">
      <xdr:nvSpPr>
        <xdr:cNvPr id="24" name="Rectangle 23">
          <a:hlinkClick xmlns:r="http://schemas.openxmlformats.org/officeDocument/2006/relationships" r:id="rId25" tooltip="Go to General Info"/>
          <a:extLst>
            <a:ext uri="{FF2B5EF4-FFF2-40B4-BE49-F238E27FC236}">
              <a16:creationId xmlns:a16="http://schemas.microsoft.com/office/drawing/2014/main" id="{00000000-0008-0000-0900-000018000000}"/>
            </a:ext>
          </a:extLst>
        </xdr:cNvPr>
        <xdr:cNvSpPr/>
      </xdr:nvSpPr>
      <xdr:spPr>
        <a:xfrm>
          <a:off x="7108698" y="1639661"/>
          <a:ext cx="1718365" cy="652327"/>
        </a:xfrm>
        <a:prstGeom prst="rect">
          <a:avLst/>
        </a:prstGeom>
        <a:solidFill>
          <a:srgbClr val="FF0000"/>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Enter Schedule</a:t>
          </a:r>
          <a:r>
            <a:rPr lang="en-US" sz="1400" b="1" baseline="0"/>
            <a:t> </a:t>
          </a:r>
          <a:r>
            <a:rPr lang="en-US" sz="1400" b="1"/>
            <a:t>F</a:t>
          </a:r>
        </a:p>
        <a:p>
          <a:pPr algn="ctr"/>
          <a:r>
            <a:rPr lang="en-US" sz="1400" b="1"/>
            <a:t>Data Entry</a:t>
          </a:r>
        </a:p>
      </xdr:txBody>
    </xdr:sp>
    <xdr:clientData fPrintsWithSheet="0"/>
  </xdr:twoCellAnchor>
  <xdr:twoCellAnchor>
    <xdr:from>
      <xdr:col>9</xdr:col>
      <xdr:colOff>60198</xdr:colOff>
      <xdr:row>23</xdr:row>
      <xdr:rowOff>38100</xdr:rowOff>
    </xdr:from>
    <xdr:to>
      <xdr:col>11</xdr:col>
      <xdr:colOff>436245</xdr:colOff>
      <xdr:row>26</xdr:row>
      <xdr:rowOff>68199</xdr:rowOff>
    </xdr:to>
    <xdr:sp macro="[0]!PrintBS_Final" textlink="">
      <xdr:nvSpPr>
        <xdr:cNvPr id="25" name="Rectangle 24">
          <a:hlinkClick xmlns:r="http://schemas.openxmlformats.org/officeDocument/2006/relationships" r:id="rId26" tooltip="Go to the Financial Scorecard"/>
          <a:extLst>
            <a:ext uri="{FF2B5EF4-FFF2-40B4-BE49-F238E27FC236}">
              <a16:creationId xmlns:a16="http://schemas.microsoft.com/office/drawing/2014/main" id="{00000000-0008-0000-0900-000019000000}"/>
            </a:ext>
          </a:extLst>
        </xdr:cNvPr>
        <xdr:cNvSpPr/>
      </xdr:nvSpPr>
      <xdr:spPr>
        <a:xfrm>
          <a:off x="7108698" y="4600575"/>
          <a:ext cx="1719072" cy="649224"/>
        </a:xfrm>
        <a:prstGeom prst="rect">
          <a:avLst/>
        </a:prstGeom>
        <a:solidFill>
          <a:schemeClr val="accent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ln>
                <a:noFill/>
              </a:ln>
            </a:rPr>
            <a:t>Go</a:t>
          </a:r>
          <a:r>
            <a:rPr lang="en-US" sz="1400" b="1" baseline="0">
              <a:ln>
                <a:noFill/>
              </a:ln>
            </a:rPr>
            <a:t> to Financial Scorecard</a:t>
          </a:r>
          <a:endParaRPr lang="en-US" sz="1400" b="1">
            <a:ln>
              <a:noFill/>
            </a:ln>
          </a:endParaRPr>
        </a:p>
      </xdr:txBody>
    </xdr:sp>
    <xdr:clientData/>
  </xdr:twoCellAnchor>
  <xdr:twoCellAnchor>
    <xdr:from>
      <xdr:col>9</xdr:col>
      <xdr:colOff>60198</xdr:colOff>
      <xdr:row>19</xdr:row>
      <xdr:rowOff>38100</xdr:rowOff>
    </xdr:from>
    <xdr:to>
      <xdr:col>11</xdr:col>
      <xdr:colOff>436245</xdr:colOff>
      <xdr:row>22</xdr:row>
      <xdr:rowOff>58674</xdr:rowOff>
    </xdr:to>
    <xdr:sp macro="[0]!PrintBS_Final" textlink="">
      <xdr:nvSpPr>
        <xdr:cNvPr id="26" name="Rectangle 25">
          <a:hlinkClick xmlns:r="http://schemas.openxmlformats.org/officeDocument/2006/relationships" r:id="rId27" tooltip="Go to the Financial Scorecard"/>
          <a:extLst>
            <a:ext uri="{FF2B5EF4-FFF2-40B4-BE49-F238E27FC236}">
              <a16:creationId xmlns:a16="http://schemas.microsoft.com/office/drawing/2014/main" id="{00000000-0008-0000-0900-00001A000000}"/>
            </a:ext>
          </a:extLst>
        </xdr:cNvPr>
        <xdr:cNvSpPr/>
      </xdr:nvSpPr>
      <xdr:spPr>
        <a:xfrm>
          <a:off x="7108698" y="3762375"/>
          <a:ext cx="1719072" cy="649224"/>
        </a:xfrm>
        <a:prstGeom prst="rect">
          <a:avLst/>
        </a:prstGeom>
        <a:solidFill>
          <a:schemeClr val="accent4"/>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baseline="0">
              <a:ln>
                <a:noFill/>
              </a:ln>
            </a:rPr>
            <a:t>Financial Dashboard</a:t>
          </a:r>
          <a:endParaRPr lang="en-US" sz="1400" b="1">
            <a:ln>
              <a:noFill/>
            </a:ln>
          </a:endParaRPr>
        </a:p>
      </xdr:txBody>
    </xdr:sp>
    <xdr:clientData/>
  </xdr:twoCellAnchor>
  <xdr:twoCellAnchor editAs="oneCell">
    <xdr:from>
      <xdr:col>9</xdr:col>
      <xdr:colOff>60198</xdr:colOff>
      <xdr:row>12</xdr:row>
      <xdr:rowOff>142875</xdr:rowOff>
    </xdr:from>
    <xdr:to>
      <xdr:col>11</xdr:col>
      <xdr:colOff>436245</xdr:colOff>
      <xdr:row>15</xdr:row>
      <xdr:rowOff>72009</xdr:rowOff>
    </xdr:to>
    <xdr:sp macro="" textlink="">
      <xdr:nvSpPr>
        <xdr:cNvPr id="29" name="Rectangle 28">
          <a:hlinkClick xmlns:r="http://schemas.openxmlformats.org/officeDocument/2006/relationships" r:id="rId28" tooltip="Click to go to the final cash flow plan to print the summarized cash flow plan."/>
          <a:extLst>
            <a:ext uri="{FF2B5EF4-FFF2-40B4-BE49-F238E27FC236}">
              <a16:creationId xmlns:a16="http://schemas.microsoft.com/office/drawing/2014/main" id="{00000000-0008-0000-0900-00001D000000}"/>
            </a:ext>
          </a:extLst>
        </xdr:cNvPr>
        <xdr:cNvSpPr/>
      </xdr:nvSpPr>
      <xdr:spPr>
        <a:xfrm>
          <a:off x="7108698" y="2428875"/>
          <a:ext cx="1719072" cy="557784"/>
        </a:xfrm>
        <a:prstGeom prst="rect">
          <a:avLst/>
        </a:prstGeom>
        <a:solidFill>
          <a:srgbClr val="4A89DC"/>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t>Go to Income</a:t>
          </a:r>
          <a:r>
            <a:rPr lang="en-US" sz="1400" b="1" baseline="0"/>
            <a:t> Statement</a:t>
          </a:r>
          <a:endParaRPr lang="en-US" sz="1400" b="1"/>
        </a:p>
      </xdr:txBody>
    </xdr:sp>
    <xdr:clientData fPrintsWithSheet="0"/>
  </xdr:twoCellAnchor>
  <mc:AlternateContent xmlns:mc="http://schemas.openxmlformats.org/markup-compatibility/2006">
    <mc:Choice xmlns:a14="http://schemas.microsoft.com/office/drawing/2010/main" Requires="a14">
      <xdr:twoCellAnchor editAs="oneCell">
        <xdr:from>
          <xdr:col>1</xdr:col>
          <xdr:colOff>981075</xdr:colOff>
          <xdr:row>39</xdr:row>
          <xdr:rowOff>28575</xdr:rowOff>
        </xdr:from>
        <xdr:to>
          <xdr:col>2</xdr:col>
          <xdr:colOff>78867</xdr:colOff>
          <xdr:row>39</xdr:row>
          <xdr:rowOff>188404</xdr:rowOff>
        </xdr:to>
        <xdr:pic>
          <xdr:nvPicPr>
            <xdr:cNvPr id="28" name="Picture 27">
              <a:hlinkClick xmlns:r="http://schemas.openxmlformats.org/officeDocument/2006/relationships" r:id="rId29" tooltip="Go to other information input"/>
              <a:extLst>
                <a:ext uri="{FF2B5EF4-FFF2-40B4-BE49-F238E27FC236}">
                  <a16:creationId xmlns:a16="http://schemas.microsoft.com/office/drawing/2014/main" id="{00000000-0008-0000-0900-00001C000000}"/>
                </a:ext>
              </a:extLst>
            </xdr:cNvPr>
            <xdr:cNvPicPr>
              <a:picLocks noChangeAspect="1"/>
              <a:extLst>
                <a:ext uri="{84589F7E-364E-4C9E-8A38-B11213B215E9}">
                  <a14:cameraTool cellRange="Picture" spid="_x0000_s238208"/>
                </a:ext>
              </a:extLst>
            </xdr:cNvPicPr>
          </xdr:nvPicPr>
          <xdr:blipFill>
            <a:blip xmlns:r="http://schemas.openxmlformats.org/officeDocument/2006/relationships" r:embed="rId6"/>
            <a:stretch>
              <a:fillRect/>
            </a:stretch>
          </xdr:blipFill>
          <xdr:spPr>
            <a:xfrm>
              <a:off x="1133475" y="7562850"/>
              <a:ext cx="164592" cy="159829"/>
            </a:xfrm>
            <a:prstGeom prst="rect">
              <a:avLst/>
            </a:prstGeom>
          </xdr:spPr>
        </xdr:pic>
        <xdr:clientData fPrintsWithSheet="0"/>
      </xdr:twoCellAnchor>
    </mc:Choice>
    <mc:Fallback/>
  </mc:AlternateContent>
  <xdr:oneCellAnchor>
    <xdr:from>
      <xdr:col>20</xdr:col>
      <xdr:colOff>142876</xdr:colOff>
      <xdr:row>61</xdr:row>
      <xdr:rowOff>28575</xdr:rowOff>
    </xdr:from>
    <xdr:ext cx="640080" cy="640080"/>
    <xdr:pic>
      <xdr:nvPicPr>
        <xdr:cNvPr id="31" name="Picture 30">
          <a:extLst>
            <a:ext uri="{FF2B5EF4-FFF2-40B4-BE49-F238E27FC236}">
              <a16:creationId xmlns:a16="http://schemas.microsoft.com/office/drawing/2014/main" id="{00000000-0008-0000-0900-00001F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373476" y="12211050"/>
          <a:ext cx="640080" cy="640080"/>
        </a:xfrm>
        <a:prstGeom prst="rect">
          <a:avLst/>
        </a:prstGeom>
      </xdr:spPr>
    </xdr:pic>
    <xdr:clientData/>
  </xdr:oneCellAnchor>
  <xdr:oneCellAnchor>
    <xdr:from>
      <xdr:col>30</xdr:col>
      <xdr:colOff>0</xdr:colOff>
      <xdr:row>61</xdr:row>
      <xdr:rowOff>28575</xdr:rowOff>
    </xdr:from>
    <xdr:ext cx="640080" cy="640080"/>
    <xdr:pic>
      <xdr:nvPicPr>
        <xdr:cNvPr id="32" name="Picture 31">
          <a:extLst>
            <a:ext uri="{FF2B5EF4-FFF2-40B4-BE49-F238E27FC236}">
              <a16:creationId xmlns:a16="http://schemas.microsoft.com/office/drawing/2014/main" id="{00000000-0008-0000-0900-000020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114250" y="12069763"/>
          <a:ext cx="640080" cy="640080"/>
        </a:xfrm>
        <a:prstGeom prst="rect">
          <a:avLst/>
        </a:prstGeom>
      </xdr:spPr>
    </xdr:pic>
    <xdr:clientData/>
  </xdr:oneCellAnchor>
  <xdr:oneCellAnchor>
    <xdr:from>
      <xdr:col>36</xdr:col>
      <xdr:colOff>0</xdr:colOff>
      <xdr:row>61</xdr:row>
      <xdr:rowOff>28575</xdr:rowOff>
    </xdr:from>
    <xdr:ext cx="640080" cy="640080"/>
    <xdr:pic>
      <xdr:nvPicPr>
        <xdr:cNvPr id="33" name="Picture 32">
          <a:extLst>
            <a:ext uri="{FF2B5EF4-FFF2-40B4-BE49-F238E27FC236}">
              <a16:creationId xmlns:a16="http://schemas.microsoft.com/office/drawing/2014/main" id="{00000000-0008-0000-0900-000021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900688" y="12069763"/>
          <a:ext cx="640080" cy="640080"/>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1</xdr:col>
      <xdr:colOff>142876</xdr:colOff>
      <xdr:row>0</xdr:row>
      <xdr:rowOff>104775</xdr:rowOff>
    </xdr:from>
    <xdr:to>
      <xdr:col>1</xdr:col>
      <xdr:colOff>757238</xdr:colOff>
      <xdr:row>3</xdr:row>
      <xdr:rowOff>151368</xdr:rowOff>
    </xdr:to>
    <xdr:pic>
      <xdr:nvPicPr>
        <xdr:cNvPr id="6" name="Picture 5">
          <a:extLst>
            <a:ext uri="{FF2B5EF4-FFF2-40B4-BE49-F238E27FC236}">
              <a16:creationId xmlns:a16="http://schemas.microsoft.com/office/drawing/2014/main" id="{00000000-0008-0000-0A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5276" y="104775"/>
          <a:ext cx="614362" cy="665718"/>
        </a:xfrm>
        <a:prstGeom prst="rect">
          <a:avLst/>
        </a:prstGeom>
      </xdr:spPr>
    </xdr:pic>
    <xdr:clientData/>
  </xdr:twoCellAnchor>
  <xdr:twoCellAnchor editAs="oneCell">
    <xdr:from>
      <xdr:col>9</xdr:col>
      <xdr:colOff>61913</xdr:colOff>
      <xdr:row>8</xdr:row>
      <xdr:rowOff>9525</xdr:rowOff>
    </xdr:from>
    <xdr:to>
      <xdr:col>11</xdr:col>
      <xdr:colOff>430340</xdr:colOff>
      <xdr:row>10</xdr:row>
      <xdr:rowOff>162496</xdr:rowOff>
    </xdr:to>
    <xdr:sp macro="[0]!PrintBS_Final" textlink="">
      <xdr:nvSpPr>
        <xdr:cNvPr id="7" name="Rectangle 6">
          <a:hlinkClick xmlns:r="http://schemas.openxmlformats.org/officeDocument/2006/relationships" r:id="rId2" tooltip="Go to Income Statement &amp; Cash Flow Plan"/>
          <a:extLst>
            <a:ext uri="{FF2B5EF4-FFF2-40B4-BE49-F238E27FC236}">
              <a16:creationId xmlns:a16="http://schemas.microsoft.com/office/drawing/2014/main" id="{00000000-0008-0000-0A00-000007000000}"/>
            </a:ext>
          </a:extLst>
        </xdr:cNvPr>
        <xdr:cNvSpPr/>
      </xdr:nvSpPr>
      <xdr:spPr>
        <a:xfrm>
          <a:off x="7834313" y="1571625"/>
          <a:ext cx="1587627" cy="553021"/>
        </a:xfrm>
        <a:prstGeom prst="rect">
          <a:avLst/>
        </a:prstGeom>
        <a:solidFill>
          <a:srgbClr val="4A89DC"/>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6. Go</a:t>
          </a:r>
          <a:r>
            <a:rPr lang="en-US" sz="1400" b="1" baseline="0"/>
            <a:t> to </a:t>
          </a:r>
          <a:r>
            <a:rPr lang="en-US" sz="1400" b="1"/>
            <a:t>Cash Flow Plan</a:t>
          </a:r>
        </a:p>
      </xdr:txBody>
    </xdr:sp>
    <xdr:clientData fPrintsWithSheet="0"/>
  </xdr:twoCellAnchor>
  <xdr:twoCellAnchor editAs="oneCell">
    <xdr:from>
      <xdr:col>9</xdr:col>
      <xdr:colOff>61913</xdr:colOff>
      <xdr:row>1</xdr:row>
      <xdr:rowOff>38100</xdr:rowOff>
    </xdr:from>
    <xdr:to>
      <xdr:col>11</xdr:col>
      <xdr:colOff>430340</xdr:colOff>
      <xdr:row>3</xdr:row>
      <xdr:rowOff>129540</xdr:rowOff>
    </xdr:to>
    <xdr:sp macro="[0]!PrintBS_Final" textlink="">
      <xdr:nvSpPr>
        <xdr:cNvPr id="8" name="Rectangle 7">
          <a:hlinkClick xmlns:r="http://schemas.openxmlformats.org/officeDocument/2006/relationships" r:id="rId3" tooltip="Go to General Info"/>
          <a:extLst>
            <a:ext uri="{FF2B5EF4-FFF2-40B4-BE49-F238E27FC236}">
              <a16:creationId xmlns:a16="http://schemas.microsoft.com/office/drawing/2014/main" id="{00000000-0008-0000-0A00-000008000000}"/>
            </a:ext>
          </a:extLst>
        </xdr:cNvPr>
        <xdr:cNvSpPr/>
      </xdr:nvSpPr>
      <xdr:spPr>
        <a:xfrm>
          <a:off x="7834313" y="200025"/>
          <a:ext cx="1587627" cy="548640"/>
        </a:xfrm>
        <a:prstGeom prst="rect">
          <a:avLst/>
        </a:prstGeom>
        <a:solidFill>
          <a:srgbClr val="F37321"/>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Go</a:t>
          </a:r>
          <a:r>
            <a:rPr lang="en-US" sz="1400" b="1" baseline="0"/>
            <a:t> to Gen Info</a:t>
          </a:r>
          <a:endParaRPr lang="en-US" sz="1400" b="1"/>
        </a:p>
      </xdr:txBody>
    </xdr:sp>
    <xdr:clientData fPrintsWithSheet="0"/>
  </xdr:twoCellAnchor>
  <xdr:twoCellAnchor>
    <xdr:from>
      <xdr:col>9</xdr:col>
      <xdr:colOff>60198</xdr:colOff>
      <xdr:row>4</xdr:row>
      <xdr:rowOff>76200</xdr:rowOff>
    </xdr:from>
    <xdr:to>
      <xdr:col>11</xdr:col>
      <xdr:colOff>432054</xdr:colOff>
      <xdr:row>7</xdr:row>
      <xdr:rowOff>34290</xdr:rowOff>
    </xdr:to>
    <xdr:sp macro="[0]!PrintBS_Final" textlink="">
      <xdr:nvSpPr>
        <xdr:cNvPr id="11" name="Rectangle 10">
          <a:hlinkClick xmlns:r="http://schemas.openxmlformats.org/officeDocument/2006/relationships" r:id="rId4" tooltip="Go to Balance Sheet Simple Data Entry"/>
          <a:extLst>
            <a:ext uri="{FF2B5EF4-FFF2-40B4-BE49-F238E27FC236}">
              <a16:creationId xmlns:a16="http://schemas.microsoft.com/office/drawing/2014/main" id="{00000000-0008-0000-0A00-00000B000000}"/>
            </a:ext>
          </a:extLst>
        </xdr:cNvPr>
        <xdr:cNvSpPr/>
      </xdr:nvSpPr>
      <xdr:spPr>
        <a:xfrm>
          <a:off x="7832598" y="857250"/>
          <a:ext cx="1591056" cy="548640"/>
        </a:xfrm>
        <a:prstGeom prst="rect">
          <a:avLst/>
        </a:prstGeom>
        <a:solidFill>
          <a:srgbClr val="8CC05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5. Go</a:t>
          </a:r>
          <a:r>
            <a:rPr lang="en-US" sz="1400" b="1" baseline="0"/>
            <a:t> to </a:t>
          </a:r>
          <a:r>
            <a:rPr lang="en-US" sz="1400" b="1"/>
            <a:t>Final Balance</a:t>
          </a:r>
          <a:r>
            <a:rPr lang="en-US" sz="1400" b="1" baseline="0"/>
            <a:t> Sheet</a:t>
          </a:r>
          <a:endParaRPr lang="en-US" sz="1400" b="1"/>
        </a:p>
      </xdr:txBody>
    </xdr:sp>
    <xdr:clientData fPrintsWithSheet="0"/>
  </xdr:twoCellAnchor>
  <mc:AlternateContent xmlns:mc="http://schemas.openxmlformats.org/markup-compatibility/2006">
    <mc:Choice xmlns:a14="http://schemas.microsoft.com/office/drawing/2010/main" Requires="a14">
      <xdr:twoCellAnchor editAs="oneCell">
        <xdr:from>
          <xdr:col>8</xdr:col>
          <xdr:colOff>28575</xdr:colOff>
          <xdr:row>6</xdr:row>
          <xdr:rowOff>190499</xdr:rowOff>
        </xdr:from>
        <xdr:to>
          <xdr:col>8</xdr:col>
          <xdr:colOff>235738</xdr:colOff>
          <xdr:row>8</xdr:row>
          <xdr:rowOff>10667</xdr:rowOff>
        </xdr:to>
        <xdr:pic>
          <xdr:nvPicPr>
            <xdr:cNvPr id="13" name="Picture 12">
              <a:hlinkClick xmlns:r="http://schemas.openxmlformats.org/officeDocument/2006/relationships" r:id="rId5" tooltip="Go to monthly input"/>
              <a:extLst>
                <a:ext uri="{FF2B5EF4-FFF2-40B4-BE49-F238E27FC236}">
                  <a16:creationId xmlns:a16="http://schemas.microsoft.com/office/drawing/2014/main" id="{00000000-0008-0000-0A00-00000D000000}"/>
                </a:ext>
              </a:extLst>
            </xdr:cNvPr>
            <xdr:cNvPicPr>
              <a:picLocks noChangeAspect="1"/>
              <a:extLst>
                <a:ext uri="{84589F7E-364E-4C9E-8A38-B11213B215E9}">
                  <a14:cameraTool cellRange="Picture" spid="_x0000_s236895"/>
                </a:ext>
              </a:extLst>
            </xdr:cNvPicPr>
          </xdr:nvPicPr>
          <xdr:blipFill>
            <a:blip xmlns:r="http://schemas.openxmlformats.org/officeDocument/2006/relationships" r:embed="rId6"/>
            <a:stretch>
              <a:fillRect/>
            </a:stretch>
          </xdr:blipFill>
          <xdr:spPr>
            <a:xfrm>
              <a:off x="7458075" y="1371599"/>
              <a:ext cx="207163" cy="201168"/>
            </a:xfrm>
            <a:prstGeom prst="rect">
              <a:avLst/>
            </a:prstGeom>
          </xdr:spPr>
        </xdr:pic>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xdr:twoCellAnchor editAs="oneCell">
    <xdr:from>
      <xdr:col>1</xdr:col>
      <xdr:colOff>135732</xdr:colOff>
      <xdr:row>0</xdr:row>
      <xdr:rowOff>147637</xdr:rowOff>
    </xdr:from>
    <xdr:to>
      <xdr:col>1</xdr:col>
      <xdr:colOff>781922</xdr:colOff>
      <xdr:row>4</xdr:row>
      <xdr:rowOff>119971</xdr:rowOff>
    </xdr:to>
    <xdr:pic>
      <xdr:nvPicPr>
        <xdr:cNvPr id="4" name="Picture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5732" y="147637"/>
          <a:ext cx="646190" cy="634548"/>
        </a:xfrm>
        <a:prstGeom prst="rect">
          <a:avLst/>
        </a:prstGeom>
      </xdr:spPr>
    </xdr:pic>
    <xdr:clientData/>
  </xdr:twoCellAnchor>
  <xdr:twoCellAnchor editAs="oneCell">
    <xdr:from>
      <xdr:col>3</xdr:col>
      <xdr:colOff>648602</xdr:colOff>
      <xdr:row>148</xdr:row>
      <xdr:rowOff>5411</xdr:rowOff>
    </xdr:from>
    <xdr:to>
      <xdr:col>3</xdr:col>
      <xdr:colOff>826999</xdr:colOff>
      <xdr:row>149</xdr:row>
      <xdr:rowOff>27108</xdr:rowOff>
    </xdr:to>
    <xdr:pic>
      <xdr:nvPicPr>
        <xdr:cNvPr id="5" name="Picture 4">
          <a:hlinkClick xmlns:r="http://schemas.openxmlformats.org/officeDocument/2006/relationships" r:id="rId2" tooltip="Go back to General Info to change personal details option"/>
          <a:extLst>
            <a:ext uri="{FF2B5EF4-FFF2-40B4-BE49-F238E27FC236}">
              <a16:creationId xmlns:a16="http://schemas.microsoft.com/office/drawing/2014/main" id="{00000000-0008-0000-0B00-000005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629927" y="23198786"/>
          <a:ext cx="178397" cy="182889"/>
        </a:xfrm>
        <a:prstGeom prst="rect">
          <a:avLst/>
        </a:prstGeom>
      </xdr:spPr>
    </xdr:pic>
    <xdr:clientData fPrintsWithSheet="0"/>
  </xdr:twoCellAnchor>
  <xdr:twoCellAnchor editAs="oneCell">
    <xdr:from>
      <xdr:col>3</xdr:col>
      <xdr:colOff>661052</xdr:colOff>
      <xdr:row>94</xdr:row>
      <xdr:rowOff>23813</xdr:rowOff>
    </xdr:from>
    <xdr:to>
      <xdr:col>3</xdr:col>
      <xdr:colOff>826999</xdr:colOff>
      <xdr:row>95</xdr:row>
      <xdr:rowOff>45501</xdr:rowOff>
    </xdr:to>
    <xdr:pic>
      <xdr:nvPicPr>
        <xdr:cNvPr id="7" name="Picture 6">
          <a:hlinkClick xmlns:r="http://schemas.openxmlformats.org/officeDocument/2006/relationships" r:id="rId4" tooltip="Go back to General Info to change how you sell your product."/>
          <a:extLst>
            <a:ext uri="{FF2B5EF4-FFF2-40B4-BE49-F238E27FC236}">
              <a16:creationId xmlns:a16="http://schemas.microsoft.com/office/drawing/2014/main" id="{00000000-0008-0000-0B00-000007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642377" y="14711363"/>
          <a:ext cx="165947" cy="182879"/>
        </a:xfrm>
        <a:prstGeom prst="rect">
          <a:avLst/>
        </a:prstGeom>
      </xdr:spPr>
    </xdr:pic>
    <xdr:clientData fPrintsWithSheet="0"/>
  </xdr:twoCellAnchor>
  <xdr:twoCellAnchor editAs="oneCell">
    <xdr:from>
      <xdr:col>7</xdr:col>
      <xdr:colOff>186442</xdr:colOff>
      <xdr:row>1</xdr:row>
      <xdr:rowOff>1936</xdr:rowOff>
    </xdr:from>
    <xdr:to>
      <xdr:col>9</xdr:col>
      <xdr:colOff>371381</xdr:colOff>
      <xdr:row>4</xdr:row>
      <xdr:rowOff>30888</xdr:rowOff>
    </xdr:to>
    <xdr:sp macro="" textlink="">
      <xdr:nvSpPr>
        <xdr:cNvPr id="2" name="Rectangle 1">
          <a:hlinkClick xmlns:r="http://schemas.openxmlformats.org/officeDocument/2006/relationships" r:id="rId5" tooltip="Click to go to the final cash flow plan to print the summarized cash flow plan."/>
          <a:extLst>
            <a:ext uri="{FF2B5EF4-FFF2-40B4-BE49-F238E27FC236}">
              <a16:creationId xmlns:a16="http://schemas.microsoft.com/office/drawing/2014/main" id="{00000000-0008-0000-0B00-000002000000}"/>
            </a:ext>
          </a:extLst>
        </xdr:cNvPr>
        <xdr:cNvSpPr/>
      </xdr:nvSpPr>
      <xdr:spPr>
        <a:xfrm>
          <a:off x="6902090" y="60551"/>
          <a:ext cx="1784302" cy="539744"/>
        </a:xfrm>
        <a:prstGeom prst="rect">
          <a:avLst/>
        </a:prstGeom>
        <a:solidFill>
          <a:srgbClr val="4A89DC"/>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400" b="1"/>
            <a:t>10. V</a:t>
          </a:r>
          <a:r>
            <a:rPr lang="en-US" sz="1400" b="1" baseline="0"/>
            <a:t>iew/Print final cash flow plan</a:t>
          </a:r>
          <a:endParaRPr lang="en-US" sz="1400" b="1"/>
        </a:p>
      </xdr:txBody>
    </xdr:sp>
    <xdr:clientData fPrintsWithSheet="0"/>
  </xdr:twoCellAnchor>
  <xdr:twoCellAnchor editAs="oneCell">
    <xdr:from>
      <xdr:col>2</xdr:col>
      <xdr:colOff>0</xdr:colOff>
      <xdr:row>9</xdr:row>
      <xdr:rowOff>0</xdr:rowOff>
    </xdr:from>
    <xdr:to>
      <xdr:col>2</xdr:col>
      <xdr:colOff>137160</xdr:colOff>
      <xdr:row>9</xdr:row>
      <xdr:rowOff>137160</xdr:rowOff>
    </xdr:to>
    <xdr:pic>
      <xdr:nvPicPr>
        <xdr:cNvPr id="9" name="Picture 8">
          <a:hlinkClick xmlns:r="http://schemas.openxmlformats.org/officeDocument/2006/relationships" r:id="rId6" tooltip="Go back to annual summary"/>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648325" y="1457325"/>
          <a:ext cx="137160" cy="137160"/>
        </a:xfrm>
        <a:prstGeom prst="rect">
          <a:avLst/>
        </a:prstGeom>
      </xdr:spPr>
    </xdr:pic>
    <xdr:clientData fPrintsWithSheet="0"/>
  </xdr:twoCellAnchor>
  <xdr:twoCellAnchor editAs="oneCell">
    <xdr:from>
      <xdr:col>2</xdr:col>
      <xdr:colOff>0</xdr:colOff>
      <xdr:row>10</xdr:row>
      <xdr:rowOff>7327</xdr:rowOff>
    </xdr:from>
    <xdr:to>
      <xdr:col>2</xdr:col>
      <xdr:colOff>137160</xdr:colOff>
      <xdr:row>10</xdr:row>
      <xdr:rowOff>144487</xdr:rowOff>
    </xdr:to>
    <xdr:pic>
      <xdr:nvPicPr>
        <xdr:cNvPr id="10" name="Picture 9">
          <a:hlinkClick xmlns:r="http://schemas.openxmlformats.org/officeDocument/2006/relationships" r:id="rId8" tooltip="Go back to annual summary"/>
          <a:extLst>
            <a:ext uri="{FF2B5EF4-FFF2-40B4-BE49-F238E27FC236}">
              <a16:creationId xmlns:a16="http://schemas.microsoft.com/office/drawing/2014/main" id="{00000000-0008-0000-0B00-00000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648325" y="1626577"/>
          <a:ext cx="137160" cy="137160"/>
        </a:xfrm>
        <a:prstGeom prst="rect">
          <a:avLst/>
        </a:prstGeom>
      </xdr:spPr>
    </xdr:pic>
    <xdr:clientData fPrintsWithSheet="0"/>
  </xdr:twoCellAnchor>
  <xdr:twoCellAnchor editAs="oneCell">
    <xdr:from>
      <xdr:col>2</xdr:col>
      <xdr:colOff>0</xdr:colOff>
      <xdr:row>234</xdr:row>
      <xdr:rowOff>5861</xdr:rowOff>
    </xdr:from>
    <xdr:to>
      <xdr:col>2</xdr:col>
      <xdr:colOff>137160</xdr:colOff>
      <xdr:row>234</xdr:row>
      <xdr:rowOff>143021</xdr:rowOff>
    </xdr:to>
    <xdr:pic>
      <xdr:nvPicPr>
        <xdr:cNvPr id="11" name="Picture 10">
          <a:hlinkClick xmlns:r="http://schemas.openxmlformats.org/officeDocument/2006/relationships" r:id="rId9" tooltip="Go back to annual summary"/>
          <a:extLst>
            <a:ext uri="{FF2B5EF4-FFF2-40B4-BE49-F238E27FC236}">
              <a16:creationId xmlns:a16="http://schemas.microsoft.com/office/drawing/2014/main" id="{00000000-0008-0000-0B00-00000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7525" y="8673611"/>
          <a:ext cx="137160" cy="137160"/>
        </a:xfrm>
        <a:prstGeom prst="rect">
          <a:avLst/>
        </a:prstGeom>
      </xdr:spPr>
    </xdr:pic>
    <xdr:clientData fPrintsWithSheet="0"/>
  </xdr:twoCellAnchor>
  <xdr:twoCellAnchor editAs="oneCell">
    <xdr:from>
      <xdr:col>2</xdr:col>
      <xdr:colOff>0</xdr:colOff>
      <xdr:row>11</xdr:row>
      <xdr:rowOff>0</xdr:rowOff>
    </xdr:from>
    <xdr:to>
      <xdr:col>2</xdr:col>
      <xdr:colOff>137160</xdr:colOff>
      <xdr:row>11</xdr:row>
      <xdr:rowOff>137160</xdr:rowOff>
    </xdr:to>
    <xdr:pic>
      <xdr:nvPicPr>
        <xdr:cNvPr id="13" name="Picture 12">
          <a:hlinkClick xmlns:r="http://schemas.openxmlformats.org/officeDocument/2006/relationships" r:id="rId10" tooltip="Go back to annual summary"/>
          <a:extLst>
            <a:ext uri="{FF2B5EF4-FFF2-40B4-BE49-F238E27FC236}">
              <a16:creationId xmlns:a16="http://schemas.microsoft.com/office/drawing/2014/main" id="{00000000-0008-0000-0B00-00000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648325" y="1781175"/>
          <a:ext cx="137160" cy="137160"/>
        </a:xfrm>
        <a:prstGeom prst="rect">
          <a:avLst/>
        </a:prstGeom>
      </xdr:spPr>
    </xdr:pic>
    <xdr:clientData fPrintsWithSheet="0"/>
  </xdr:twoCellAnchor>
  <xdr:twoCellAnchor editAs="oneCell">
    <xdr:from>
      <xdr:col>2</xdr:col>
      <xdr:colOff>0</xdr:colOff>
      <xdr:row>18</xdr:row>
      <xdr:rowOff>0</xdr:rowOff>
    </xdr:from>
    <xdr:to>
      <xdr:col>2</xdr:col>
      <xdr:colOff>137160</xdr:colOff>
      <xdr:row>18</xdr:row>
      <xdr:rowOff>137160</xdr:rowOff>
    </xdr:to>
    <xdr:pic>
      <xdr:nvPicPr>
        <xdr:cNvPr id="14" name="Picture 13">
          <a:hlinkClick xmlns:r="http://schemas.openxmlformats.org/officeDocument/2006/relationships" r:id="rId11" tooltip="Go back to annual summary"/>
          <a:extLst>
            <a:ext uri="{FF2B5EF4-FFF2-40B4-BE49-F238E27FC236}">
              <a16:creationId xmlns:a16="http://schemas.microsoft.com/office/drawing/2014/main" id="{00000000-0008-0000-0B00-00000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648325" y="2266950"/>
          <a:ext cx="137160" cy="137160"/>
        </a:xfrm>
        <a:prstGeom prst="rect">
          <a:avLst/>
        </a:prstGeom>
      </xdr:spPr>
    </xdr:pic>
    <xdr:clientData fPrintsWithSheet="0"/>
  </xdr:twoCellAnchor>
  <xdr:twoCellAnchor editAs="oneCell">
    <xdr:from>
      <xdr:col>2</xdr:col>
      <xdr:colOff>0</xdr:colOff>
      <xdr:row>45</xdr:row>
      <xdr:rowOff>469</xdr:rowOff>
    </xdr:from>
    <xdr:to>
      <xdr:col>2</xdr:col>
      <xdr:colOff>136221</xdr:colOff>
      <xdr:row>45</xdr:row>
      <xdr:rowOff>136690</xdr:rowOff>
    </xdr:to>
    <xdr:pic>
      <xdr:nvPicPr>
        <xdr:cNvPr id="15" name="Picture 14">
          <a:hlinkClick xmlns:r="http://schemas.openxmlformats.org/officeDocument/2006/relationships" r:id="rId12" tooltip="Go back to annual summary"/>
          <a:extLst>
            <a:ext uri="{FF2B5EF4-FFF2-40B4-BE49-F238E27FC236}">
              <a16:creationId xmlns:a16="http://schemas.microsoft.com/office/drawing/2014/main" id="{00000000-0008-0000-0B00-00000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7525" y="2743669"/>
          <a:ext cx="136221" cy="136221"/>
        </a:xfrm>
        <a:prstGeom prst="rect">
          <a:avLst/>
        </a:prstGeom>
      </xdr:spPr>
    </xdr:pic>
    <xdr:clientData fPrintsWithSheet="0"/>
  </xdr:twoCellAnchor>
  <xdr:twoCellAnchor editAs="oneCell">
    <xdr:from>
      <xdr:col>2</xdr:col>
      <xdr:colOff>0</xdr:colOff>
      <xdr:row>27</xdr:row>
      <xdr:rowOff>469</xdr:rowOff>
    </xdr:from>
    <xdr:to>
      <xdr:col>2</xdr:col>
      <xdr:colOff>136221</xdr:colOff>
      <xdr:row>27</xdr:row>
      <xdr:rowOff>136690</xdr:rowOff>
    </xdr:to>
    <xdr:pic>
      <xdr:nvPicPr>
        <xdr:cNvPr id="16" name="Picture 15">
          <a:hlinkClick xmlns:r="http://schemas.openxmlformats.org/officeDocument/2006/relationships" r:id="rId13" tooltip="Go back to annual summary"/>
          <a:extLst>
            <a:ext uri="{FF2B5EF4-FFF2-40B4-BE49-F238E27FC236}">
              <a16:creationId xmlns:a16="http://schemas.microsoft.com/office/drawing/2014/main" id="{00000000-0008-0000-0B00-00001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7525" y="2905594"/>
          <a:ext cx="136221" cy="136221"/>
        </a:xfrm>
        <a:prstGeom prst="rect">
          <a:avLst/>
        </a:prstGeom>
      </xdr:spPr>
    </xdr:pic>
    <xdr:clientData fPrintsWithSheet="0"/>
  </xdr:twoCellAnchor>
  <xdr:twoCellAnchor editAs="oneCell">
    <xdr:from>
      <xdr:col>2</xdr:col>
      <xdr:colOff>210</xdr:colOff>
      <xdr:row>28</xdr:row>
      <xdr:rowOff>1360</xdr:rowOff>
    </xdr:from>
    <xdr:to>
      <xdr:col>2</xdr:col>
      <xdr:colOff>136010</xdr:colOff>
      <xdr:row>28</xdr:row>
      <xdr:rowOff>137160</xdr:rowOff>
    </xdr:to>
    <xdr:pic>
      <xdr:nvPicPr>
        <xdr:cNvPr id="17" name="Picture 16">
          <a:hlinkClick xmlns:r="http://schemas.openxmlformats.org/officeDocument/2006/relationships" r:id="rId14" tooltip="Go back to annual summary"/>
          <a:extLst>
            <a:ext uri="{FF2B5EF4-FFF2-40B4-BE49-F238E27FC236}">
              <a16:creationId xmlns:a16="http://schemas.microsoft.com/office/drawing/2014/main" id="{00000000-0008-0000-0B00-00001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7735" y="3068410"/>
          <a:ext cx="135800" cy="135800"/>
        </a:xfrm>
        <a:prstGeom prst="rect">
          <a:avLst/>
        </a:prstGeom>
      </xdr:spPr>
    </xdr:pic>
    <xdr:clientData fPrintsWithSheet="0"/>
  </xdr:twoCellAnchor>
  <xdr:twoCellAnchor editAs="oneCell">
    <xdr:from>
      <xdr:col>2</xdr:col>
      <xdr:colOff>0</xdr:colOff>
      <xdr:row>43</xdr:row>
      <xdr:rowOff>469</xdr:rowOff>
    </xdr:from>
    <xdr:to>
      <xdr:col>2</xdr:col>
      <xdr:colOff>136221</xdr:colOff>
      <xdr:row>43</xdr:row>
      <xdr:rowOff>136690</xdr:rowOff>
    </xdr:to>
    <xdr:pic>
      <xdr:nvPicPr>
        <xdr:cNvPr id="18" name="Picture 17">
          <a:hlinkClick xmlns:r="http://schemas.openxmlformats.org/officeDocument/2006/relationships" r:id="rId15" tooltip="Go back to annual summary"/>
          <a:extLst>
            <a:ext uri="{FF2B5EF4-FFF2-40B4-BE49-F238E27FC236}">
              <a16:creationId xmlns:a16="http://schemas.microsoft.com/office/drawing/2014/main" id="{00000000-0008-0000-0B00-00001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7525" y="3229444"/>
          <a:ext cx="136221" cy="136221"/>
        </a:xfrm>
        <a:prstGeom prst="rect">
          <a:avLst/>
        </a:prstGeom>
      </xdr:spPr>
    </xdr:pic>
    <xdr:clientData fPrintsWithSheet="0"/>
  </xdr:twoCellAnchor>
  <xdr:twoCellAnchor editAs="oneCell">
    <xdr:from>
      <xdr:col>2</xdr:col>
      <xdr:colOff>0</xdr:colOff>
      <xdr:row>37</xdr:row>
      <xdr:rowOff>469</xdr:rowOff>
    </xdr:from>
    <xdr:to>
      <xdr:col>2</xdr:col>
      <xdr:colOff>136221</xdr:colOff>
      <xdr:row>37</xdr:row>
      <xdr:rowOff>136690</xdr:rowOff>
    </xdr:to>
    <xdr:pic>
      <xdr:nvPicPr>
        <xdr:cNvPr id="19" name="Picture 18">
          <a:hlinkClick xmlns:r="http://schemas.openxmlformats.org/officeDocument/2006/relationships" r:id="rId16" tooltip="Go back to annual summary"/>
          <a:extLst>
            <a:ext uri="{FF2B5EF4-FFF2-40B4-BE49-F238E27FC236}">
              <a16:creationId xmlns:a16="http://schemas.microsoft.com/office/drawing/2014/main" id="{00000000-0008-0000-0B00-00001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7525" y="3391369"/>
          <a:ext cx="136221" cy="136221"/>
        </a:xfrm>
        <a:prstGeom prst="rect">
          <a:avLst/>
        </a:prstGeom>
      </xdr:spPr>
    </xdr:pic>
    <xdr:clientData fPrintsWithSheet="0"/>
  </xdr:twoCellAnchor>
  <xdr:twoCellAnchor editAs="oneCell">
    <xdr:from>
      <xdr:col>2</xdr:col>
      <xdr:colOff>0</xdr:colOff>
      <xdr:row>44</xdr:row>
      <xdr:rowOff>469</xdr:rowOff>
    </xdr:from>
    <xdr:to>
      <xdr:col>2</xdr:col>
      <xdr:colOff>136221</xdr:colOff>
      <xdr:row>44</xdr:row>
      <xdr:rowOff>136690</xdr:rowOff>
    </xdr:to>
    <xdr:pic>
      <xdr:nvPicPr>
        <xdr:cNvPr id="20" name="Picture 19">
          <a:hlinkClick xmlns:r="http://schemas.openxmlformats.org/officeDocument/2006/relationships" r:id="rId17" tooltip="Go back to annual summary"/>
          <a:extLst>
            <a:ext uri="{FF2B5EF4-FFF2-40B4-BE49-F238E27FC236}">
              <a16:creationId xmlns:a16="http://schemas.microsoft.com/office/drawing/2014/main" id="{00000000-0008-0000-0B00-00001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7525" y="3553294"/>
          <a:ext cx="136221" cy="136221"/>
        </a:xfrm>
        <a:prstGeom prst="rect">
          <a:avLst/>
        </a:prstGeom>
      </xdr:spPr>
    </xdr:pic>
    <xdr:clientData fPrintsWithSheet="0"/>
  </xdr:twoCellAnchor>
  <xdr:twoCellAnchor editAs="oneCell">
    <xdr:from>
      <xdr:col>2</xdr:col>
      <xdr:colOff>0</xdr:colOff>
      <xdr:row>23</xdr:row>
      <xdr:rowOff>469</xdr:rowOff>
    </xdr:from>
    <xdr:to>
      <xdr:col>2</xdr:col>
      <xdr:colOff>136221</xdr:colOff>
      <xdr:row>23</xdr:row>
      <xdr:rowOff>136690</xdr:rowOff>
    </xdr:to>
    <xdr:pic>
      <xdr:nvPicPr>
        <xdr:cNvPr id="21" name="Picture 20">
          <a:hlinkClick xmlns:r="http://schemas.openxmlformats.org/officeDocument/2006/relationships" r:id="rId18" tooltip="Go back to annual summary"/>
          <a:extLst>
            <a:ext uri="{FF2B5EF4-FFF2-40B4-BE49-F238E27FC236}">
              <a16:creationId xmlns:a16="http://schemas.microsoft.com/office/drawing/2014/main" id="{00000000-0008-0000-0B00-00001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7525" y="3715219"/>
          <a:ext cx="136221" cy="136221"/>
        </a:xfrm>
        <a:prstGeom prst="rect">
          <a:avLst/>
        </a:prstGeom>
      </xdr:spPr>
    </xdr:pic>
    <xdr:clientData fPrintsWithSheet="0"/>
  </xdr:twoCellAnchor>
  <xdr:twoCellAnchor editAs="oneCell">
    <xdr:from>
      <xdr:col>2</xdr:col>
      <xdr:colOff>0</xdr:colOff>
      <xdr:row>48</xdr:row>
      <xdr:rowOff>469</xdr:rowOff>
    </xdr:from>
    <xdr:to>
      <xdr:col>2</xdr:col>
      <xdr:colOff>136221</xdr:colOff>
      <xdr:row>48</xdr:row>
      <xdr:rowOff>136690</xdr:rowOff>
    </xdr:to>
    <xdr:pic>
      <xdr:nvPicPr>
        <xdr:cNvPr id="23" name="Picture 22">
          <a:hlinkClick xmlns:r="http://schemas.openxmlformats.org/officeDocument/2006/relationships" r:id="rId19" tooltip="Go back to annual summary"/>
          <a:extLst>
            <a:ext uri="{FF2B5EF4-FFF2-40B4-BE49-F238E27FC236}">
              <a16:creationId xmlns:a16="http://schemas.microsoft.com/office/drawing/2014/main" id="{00000000-0008-0000-0B00-00001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7525" y="4039069"/>
          <a:ext cx="136221" cy="136221"/>
        </a:xfrm>
        <a:prstGeom prst="rect">
          <a:avLst/>
        </a:prstGeom>
      </xdr:spPr>
    </xdr:pic>
    <xdr:clientData fPrintsWithSheet="0"/>
  </xdr:twoCellAnchor>
  <xdr:twoCellAnchor editAs="oneCell">
    <xdr:from>
      <xdr:col>2</xdr:col>
      <xdr:colOff>210</xdr:colOff>
      <xdr:row>49</xdr:row>
      <xdr:rowOff>1360</xdr:rowOff>
    </xdr:from>
    <xdr:to>
      <xdr:col>2</xdr:col>
      <xdr:colOff>136010</xdr:colOff>
      <xdr:row>49</xdr:row>
      <xdr:rowOff>137160</xdr:rowOff>
    </xdr:to>
    <xdr:pic>
      <xdr:nvPicPr>
        <xdr:cNvPr id="24" name="Picture 23">
          <a:hlinkClick xmlns:r="http://schemas.openxmlformats.org/officeDocument/2006/relationships" r:id="rId20" tooltip="Go back to annual summary"/>
          <a:extLst>
            <a:ext uri="{FF2B5EF4-FFF2-40B4-BE49-F238E27FC236}">
              <a16:creationId xmlns:a16="http://schemas.microsoft.com/office/drawing/2014/main" id="{00000000-0008-0000-0B00-00001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7735" y="4201885"/>
          <a:ext cx="135800" cy="135800"/>
        </a:xfrm>
        <a:prstGeom prst="rect">
          <a:avLst/>
        </a:prstGeom>
      </xdr:spPr>
    </xdr:pic>
    <xdr:clientData fPrintsWithSheet="0"/>
  </xdr:twoCellAnchor>
  <xdr:twoCellAnchor editAs="oneCell">
    <xdr:from>
      <xdr:col>2</xdr:col>
      <xdr:colOff>0</xdr:colOff>
      <xdr:row>53</xdr:row>
      <xdr:rowOff>469</xdr:rowOff>
    </xdr:from>
    <xdr:to>
      <xdr:col>2</xdr:col>
      <xdr:colOff>136221</xdr:colOff>
      <xdr:row>53</xdr:row>
      <xdr:rowOff>136690</xdr:rowOff>
    </xdr:to>
    <xdr:pic>
      <xdr:nvPicPr>
        <xdr:cNvPr id="26" name="Picture 25">
          <a:hlinkClick xmlns:r="http://schemas.openxmlformats.org/officeDocument/2006/relationships" r:id="rId21" tooltip="Go back to annual summary"/>
          <a:extLst>
            <a:ext uri="{FF2B5EF4-FFF2-40B4-BE49-F238E27FC236}">
              <a16:creationId xmlns:a16="http://schemas.microsoft.com/office/drawing/2014/main" id="{00000000-0008-0000-0B00-00001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7525" y="4743919"/>
          <a:ext cx="136221" cy="136221"/>
        </a:xfrm>
        <a:prstGeom prst="rect">
          <a:avLst/>
        </a:prstGeom>
      </xdr:spPr>
    </xdr:pic>
    <xdr:clientData fPrintsWithSheet="0"/>
  </xdr:twoCellAnchor>
  <xdr:twoCellAnchor editAs="oneCell">
    <xdr:from>
      <xdr:col>2</xdr:col>
      <xdr:colOff>0</xdr:colOff>
      <xdr:row>226</xdr:row>
      <xdr:rowOff>469</xdr:rowOff>
    </xdr:from>
    <xdr:to>
      <xdr:col>2</xdr:col>
      <xdr:colOff>136221</xdr:colOff>
      <xdr:row>226</xdr:row>
      <xdr:rowOff>136690</xdr:rowOff>
    </xdr:to>
    <xdr:pic>
      <xdr:nvPicPr>
        <xdr:cNvPr id="29" name="Picture 28">
          <a:hlinkClick xmlns:r="http://schemas.openxmlformats.org/officeDocument/2006/relationships" r:id="rId22" tooltip="Go back to annual summary"/>
          <a:extLst>
            <a:ext uri="{FF2B5EF4-FFF2-40B4-BE49-F238E27FC236}">
              <a16:creationId xmlns:a16="http://schemas.microsoft.com/office/drawing/2014/main" id="{00000000-0008-0000-0B00-00001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7525" y="5229694"/>
          <a:ext cx="136221" cy="136221"/>
        </a:xfrm>
        <a:prstGeom prst="rect">
          <a:avLst/>
        </a:prstGeom>
      </xdr:spPr>
    </xdr:pic>
    <xdr:clientData fPrintsWithSheet="0"/>
  </xdr:twoCellAnchor>
  <xdr:twoCellAnchor editAs="oneCell">
    <xdr:from>
      <xdr:col>2</xdr:col>
      <xdr:colOff>0</xdr:colOff>
      <xdr:row>56</xdr:row>
      <xdr:rowOff>469</xdr:rowOff>
    </xdr:from>
    <xdr:to>
      <xdr:col>2</xdr:col>
      <xdr:colOff>136221</xdr:colOff>
      <xdr:row>56</xdr:row>
      <xdr:rowOff>136690</xdr:rowOff>
    </xdr:to>
    <xdr:pic>
      <xdr:nvPicPr>
        <xdr:cNvPr id="31" name="Picture 30">
          <a:hlinkClick xmlns:r="http://schemas.openxmlformats.org/officeDocument/2006/relationships" r:id="rId23" tooltip="Go back to annual summary"/>
          <a:extLst>
            <a:ext uri="{FF2B5EF4-FFF2-40B4-BE49-F238E27FC236}">
              <a16:creationId xmlns:a16="http://schemas.microsoft.com/office/drawing/2014/main" id="{00000000-0008-0000-0B00-00001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7525" y="5553544"/>
          <a:ext cx="136221" cy="136221"/>
        </a:xfrm>
        <a:prstGeom prst="rect">
          <a:avLst/>
        </a:prstGeom>
      </xdr:spPr>
    </xdr:pic>
    <xdr:clientData fPrintsWithSheet="0"/>
  </xdr:twoCellAnchor>
  <xdr:twoCellAnchor editAs="oneCell">
    <xdr:from>
      <xdr:col>2</xdr:col>
      <xdr:colOff>210</xdr:colOff>
      <xdr:row>59</xdr:row>
      <xdr:rowOff>1360</xdr:rowOff>
    </xdr:from>
    <xdr:to>
      <xdr:col>2</xdr:col>
      <xdr:colOff>136010</xdr:colOff>
      <xdr:row>59</xdr:row>
      <xdr:rowOff>137160</xdr:rowOff>
    </xdr:to>
    <xdr:pic>
      <xdr:nvPicPr>
        <xdr:cNvPr id="32" name="Picture 31">
          <a:hlinkClick xmlns:r="http://schemas.openxmlformats.org/officeDocument/2006/relationships" r:id="rId24" tooltip="Go back to annual summary"/>
          <a:extLst>
            <a:ext uri="{FF2B5EF4-FFF2-40B4-BE49-F238E27FC236}">
              <a16:creationId xmlns:a16="http://schemas.microsoft.com/office/drawing/2014/main" id="{00000000-0008-0000-0B00-00002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7735" y="5716360"/>
          <a:ext cx="135800" cy="135800"/>
        </a:xfrm>
        <a:prstGeom prst="rect">
          <a:avLst/>
        </a:prstGeom>
      </xdr:spPr>
    </xdr:pic>
    <xdr:clientData fPrintsWithSheet="0"/>
  </xdr:twoCellAnchor>
  <xdr:twoCellAnchor editAs="oneCell">
    <xdr:from>
      <xdr:col>2</xdr:col>
      <xdr:colOff>0</xdr:colOff>
      <xdr:row>60</xdr:row>
      <xdr:rowOff>469</xdr:rowOff>
    </xdr:from>
    <xdr:to>
      <xdr:col>2</xdr:col>
      <xdr:colOff>136221</xdr:colOff>
      <xdr:row>60</xdr:row>
      <xdr:rowOff>136690</xdr:rowOff>
    </xdr:to>
    <xdr:pic>
      <xdr:nvPicPr>
        <xdr:cNvPr id="33" name="Picture 32">
          <a:hlinkClick xmlns:r="http://schemas.openxmlformats.org/officeDocument/2006/relationships" r:id="rId25" tooltip="Go back to annual summary"/>
          <a:extLst>
            <a:ext uri="{FF2B5EF4-FFF2-40B4-BE49-F238E27FC236}">
              <a16:creationId xmlns:a16="http://schemas.microsoft.com/office/drawing/2014/main" id="{00000000-0008-0000-0B00-00002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7525" y="5877394"/>
          <a:ext cx="136221" cy="136221"/>
        </a:xfrm>
        <a:prstGeom prst="rect">
          <a:avLst/>
        </a:prstGeom>
      </xdr:spPr>
    </xdr:pic>
    <xdr:clientData fPrintsWithSheet="0"/>
  </xdr:twoCellAnchor>
  <xdr:twoCellAnchor editAs="oneCell">
    <xdr:from>
      <xdr:col>2</xdr:col>
      <xdr:colOff>0</xdr:colOff>
      <xdr:row>61</xdr:row>
      <xdr:rowOff>0</xdr:rowOff>
    </xdr:from>
    <xdr:to>
      <xdr:col>2</xdr:col>
      <xdr:colOff>136221</xdr:colOff>
      <xdr:row>61</xdr:row>
      <xdr:rowOff>136221</xdr:rowOff>
    </xdr:to>
    <xdr:pic>
      <xdr:nvPicPr>
        <xdr:cNvPr id="34" name="Picture 33">
          <a:hlinkClick xmlns:r="http://schemas.openxmlformats.org/officeDocument/2006/relationships" r:id="rId26" tooltip="Go back to annual summary"/>
          <a:extLst>
            <a:ext uri="{FF2B5EF4-FFF2-40B4-BE49-F238E27FC236}">
              <a16:creationId xmlns:a16="http://schemas.microsoft.com/office/drawing/2014/main" id="{00000000-0008-0000-0B00-00002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7525" y="6039319"/>
          <a:ext cx="136221" cy="136221"/>
        </a:xfrm>
        <a:prstGeom prst="rect">
          <a:avLst/>
        </a:prstGeom>
      </xdr:spPr>
    </xdr:pic>
    <xdr:clientData fPrintsWithSheet="0"/>
  </xdr:twoCellAnchor>
  <xdr:twoCellAnchor editAs="oneCell">
    <xdr:from>
      <xdr:col>2</xdr:col>
      <xdr:colOff>0</xdr:colOff>
      <xdr:row>61</xdr:row>
      <xdr:rowOff>469</xdr:rowOff>
    </xdr:from>
    <xdr:to>
      <xdr:col>2</xdr:col>
      <xdr:colOff>136221</xdr:colOff>
      <xdr:row>61</xdr:row>
      <xdr:rowOff>136690</xdr:rowOff>
    </xdr:to>
    <xdr:pic>
      <xdr:nvPicPr>
        <xdr:cNvPr id="35" name="Picture 34">
          <a:hlinkClick xmlns:r="http://schemas.openxmlformats.org/officeDocument/2006/relationships" r:id="rId27" tooltip="Go back to annual summary"/>
          <a:extLst>
            <a:ext uri="{FF2B5EF4-FFF2-40B4-BE49-F238E27FC236}">
              <a16:creationId xmlns:a16="http://schemas.microsoft.com/office/drawing/2014/main" id="{00000000-0008-0000-0B00-00002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7525" y="6201244"/>
          <a:ext cx="136221" cy="136221"/>
        </a:xfrm>
        <a:prstGeom prst="rect">
          <a:avLst/>
        </a:prstGeom>
      </xdr:spPr>
    </xdr:pic>
    <xdr:clientData fPrintsWithSheet="0"/>
  </xdr:twoCellAnchor>
  <xdr:twoCellAnchor editAs="oneCell">
    <xdr:from>
      <xdr:col>2</xdr:col>
      <xdr:colOff>0</xdr:colOff>
      <xdr:row>216</xdr:row>
      <xdr:rowOff>469</xdr:rowOff>
    </xdr:from>
    <xdr:to>
      <xdr:col>2</xdr:col>
      <xdr:colOff>136221</xdr:colOff>
      <xdr:row>216</xdr:row>
      <xdr:rowOff>136690</xdr:rowOff>
    </xdr:to>
    <xdr:pic>
      <xdr:nvPicPr>
        <xdr:cNvPr id="36" name="Picture 35">
          <a:hlinkClick xmlns:r="http://schemas.openxmlformats.org/officeDocument/2006/relationships" r:id="rId28" tooltip="Go back to annual summary"/>
          <a:extLst>
            <a:ext uri="{FF2B5EF4-FFF2-40B4-BE49-F238E27FC236}">
              <a16:creationId xmlns:a16="http://schemas.microsoft.com/office/drawing/2014/main" id="{00000000-0008-0000-0B00-00002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7525" y="7134694"/>
          <a:ext cx="136221" cy="136221"/>
        </a:xfrm>
        <a:prstGeom prst="rect">
          <a:avLst/>
        </a:prstGeom>
      </xdr:spPr>
    </xdr:pic>
    <xdr:clientData fPrintsWithSheet="0"/>
  </xdr:twoCellAnchor>
  <xdr:twoCellAnchor editAs="oneCell">
    <xdr:from>
      <xdr:col>2</xdr:col>
      <xdr:colOff>0</xdr:colOff>
      <xdr:row>67</xdr:row>
      <xdr:rowOff>469</xdr:rowOff>
    </xdr:from>
    <xdr:to>
      <xdr:col>2</xdr:col>
      <xdr:colOff>136221</xdr:colOff>
      <xdr:row>67</xdr:row>
      <xdr:rowOff>136690</xdr:rowOff>
    </xdr:to>
    <xdr:pic>
      <xdr:nvPicPr>
        <xdr:cNvPr id="37" name="Picture 36">
          <a:hlinkClick xmlns:r="http://schemas.openxmlformats.org/officeDocument/2006/relationships" r:id="rId29" tooltip="Go back to annual summary"/>
          <a:extLst>
            <a:ext uri="{FF2B5EF4-FFF2-40B4-BE49-F238E27FC236}">
              <a16:creationId xmlns:a16="http://schemas.microsoft.com/office/drawing/2014/main" id="{00000000-0008-0000-0B00-00002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7525" y="7620469"/>
          <a:ext cx="136221" cy="136221"/>
        </a:xfrm>
        <a:prstGeom prst="rect">
          <a:avLst/>
        </a:prstGeom>
      </xdr:spPr>
    </xdr:pic>
    <xdr:clientData fPrintsWithSheet="0"/>
  </xdr:twoCellAnchor>
  <xdr:twoCellAnchor editAs="oneCell">
    <xdr:from>
      <xdr:col>2</xdr:col>
      <xdr:colOff>0</xdr:colOff>
      <xdr:row>17</xdr:row>
      <xdr:rowOff>469</xdr:rowOff>
    </xdr:from>
    <xdr:to>
      <xdr:col>2</xdr:col>
      <xdr:colOff>136221</xdr:colOff>
      <xdr:row>17</xdr:row>
      <xdr:rowOff>136690</xdr:rowOff>
    </xdr:to>
    <xdr:pic>
      <xdr:nvPicPr>
        <xdr:cNvPr id="38" name="Picture 37">
          <a:hlinkClick xmlns:r="http://schemas.openxmlformats.org/officeDocument/2006/relationships" r:id="rId30" tooltip="Go back to annual summary"/>
          <a:extLst>
            <a:ext uri="{FF2B5EF4-FFF2-40B4-BE49-F238E27FC236}">
              <a16:creationId xmlns:a16="http://schemas.microsoft.com/office/drawing/2014/main" id="{00000000-0008-0000-0B00-00002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648325" y="2105494"/>
          <a:ext cx="136221" cy="136221"/>
        </a:xfrm>
        <a:prstGeom prst="rect">
          <a:avLst/>
        </a:prstGeom>
      </xdr:spPr>
    </xdr:pic>
    <xdr:clientData fPrintsWithSheet="0"/>
  </xdr:twoCellAnchor>
  <xdr:twoCellAnchor editAs="oneCell">
    <xdr:from>
      <xdr:col>2</xdr:col>
      <xdr:colOff>0</xdr:colOff>
      <xdr:row>96</xdr:row>
      <xdr:rowOff>469</xdr:rowOff>
    </xdr:from>
    <xdr:to>
      <xdr:col>2</xdr:col>
      <xdr:colOff>136221</xdr:colOff>
      <xdr:row>96</xdr:row>
      <xdr:rowOff>136690</xdr:rowOff>
    </xdr:to>
    <xdr:pic>
      <xdr:nvPicPr>
        <xdr:cNvPr id="39" name="Picture 38">
          <a:hlinkClick xmlns:r="http://schemas.openxmlformats.org/officeDocument/2006/relationships" r:id="rId31" tooltip="Go back to annual summary"/>
          <a:extLst>
            <a:ext uri="{FF2B5EF4-FFF2-40B4-BE49-F238E27FC236}">
              <a16:creationId xmlns:a16="http://schemas.microsoft.com/office/drawing/2014/main" id="{00000000-0008-0000-0B00-00002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15197174"/>
          <a:ext cx="136221" cy="136221"/>
        </a:xfrm>
        <a:prstGeom prst="rect">
          <a:avLst/>
        </a:prstGeom>
      </xdr:spPr>
    </xdr:pic>
    <xdr:clientData fPrintsWithSheet="0"/>
  </xdr:twoCellAnchor>
  <xdr:twoCellAnchor editAs="oneCell">
    <xdr:from>
      <xdr:col>2</xdr:col>
      <xdr:colOff>421</xdr:colOff>
      <xdr:row>249</xdr:row>
      <xdr:rowOff>1360</xdr:rowOff>
    </xdr:from>
    <xdr:to>
      <xdr:col>2</xdr:col>
      <xdr:colOff>136221</xdr:colOff>
      <xdr:row>249</xdr:row>
      <xdr:rowOff>137160</xdr:rowOff>
    </xdr:to>
    <xdr:pic>
      <xdr:nvPicPr>
        <xdr:cNvPr id="41" name="Picture 40">
          <a:hlinkClick xmlns:r="http://schemas.openxmlformats.org/officeDocument/2006/relationships" r:id="rId32" tooltip="Go back to annual summary"/>
          <a:extLst>
            <a:ext uri="{FF2B5EF4-FFF2-40B4-BE49-F238E27FC236}">
              <a16:creationId xmlns:a16="http://schemas.microsoft.com/office/drawing/2014/main" id="{00000000-0008-0000-0B00-00002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944" y="22463042"/>
          <a:ext cx="135800" cy="135800"/>
        </a:xfrm>
        <a:prstGeom prst="rect">
          <a:avLst/>
        </a:prstGeom>
      </xdr:spPr>
    </xdr:pic>
    <xdr:clientData fPrintsWithSheet="0"/>
  </xdr:twoCellAnchor>
  <xdr:twoCellAnchor editAs="oneCell">
    <xdr:from>
      <xdr:col>2</xdr:col>
      <xdr:colOff>0</xdr:colOff>
      <xdr:row>101</xdr:row>
      <xdr:rowOff>469</xdr:rowOff>
    </xdr:from>
    <xdr:to>
      <xdr:col>2</xdr:col>
      <xdr:colOff>136221</xdr:colOff>
      <xdr:row>101</xdr:row>
      <xdr:rowOff>136690</xdr:rowOff>
    </xdr:to>
    <xdr:pic>
      <xdr:nvPicPr>
        <xdr:cNvPr id="42" name="Picture 41">
          <a:hlinkClick xmlns:r="http://schemas.openxmlformats.org/officeDocument/2006/relationships" r:id="rId33" tooltip="Go back to annual summary"/>
          <a:extLst>
            <a:ext uri="{FF2B5EF4-FFF2-40B4-BE49-F238E27FC236}">
              <a16:creationId xmlns:a16="http://schemas.microsoft.com/office/drawing/2014/main" id="{00000000-0008-0000-0B00-00002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16175651"/>
          <a:ext cx="136221" cy="136221"/>
        </a:xfrm>
        <a:prstGeom prst="rect">
          <a:avLst/>
        </a:prstGeom>
      </xdr:spPr>
    </xdr:pic>
    <xdr:clientData fPrintsWithSheet="0"/>
  </xdr:twoCellAnchor>
  <xdr:twoCellAnchor editAs="oneCell">
    <xdr:from>
      <xdr:col>2</xdr:col>
      <xdr:colOff>0</xdr:colOff>
      <xdr:row>105</xdr:row>
      <xdr:rowOff>469</xdr:rowOff>
    </xdr:from>
    <xdr:to>
      <xdr:col>2</xdr:col>
      <xdr:colOff>136221</xdr:colOff>
      <xdr:row>105</xdr:row>
      <xdr:rowOff>136690</xdr:rowOff>
    </xdr:to>
    <xdr:pic>
      <xdr:nvPicPr>
        <xdr:cNvPr id="43" name="Picture 42">
          <a:hlinkClick xmlns:r="http://schemas.openxmlformats.org/officeDocument/2006/relationships" r:id="rId34" tooltip="Go back to annual summary"/>
          <a:extLst>
            <a:ext uri="{FF2B5EF4-FFF2-40B4-BE49-F238E27FC236}">
              <a16:creationId xmlns:a16="http://schemas.microsoft.com/office/drawing/2014/main" id="{00000000-0008-0000-0B00-00002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16755810"/>
          <a:ext cx="136221" cy="136221"/>
        </a:xfrm>
        <a:prstGeom prst="rect">
          <a:avLst/>
        </a:prstGeom>
      </xdr:spPr>
    </xdr:pic>
    <xdr:clientData fPrintsWithSheet="0"/>
  </xdr:twoCellAnchor>
  <xdr:twoCellAnchor editAs="oneCell">
    <xdr:from>
      <xdr:col>2</xdr:col>
      <xdr:colOff>421</xdr:colOff>
      <xdr:row>106</xdr:row>
      <xdr:rowOff>1360</xdr:rowOff>
    </xdr:from>
    <xdr:to>
      <xdr:col>2</xdr:col>
      <xdr:colOff>136221</xdr:colOff>
      <xdr:row>106</xdr:row>
      <xdr:rowOff>137160</xdr:rowOff>
    </xdr:to>
    <xdr:pic>
      <xdr:nvPicPr>
        <xdr:cNvPr id="44" name="Picture 43">
          <a:hlinkClick xmlns:r="http://schemas.openxmlformats.org/officeDocument/2006/relationships" r:id="rId35" tooltip="Go back to annual summary"/>
          <a:extLst>
            <a:ext uri="{FF2B5EF4-FFF2-40B4-BE49-F238E27FC236}">
              <a16:creationId xmlns:a16="http://schemas.microsoft.com/office/drawing/2014/main" id="{00000000-0008-0000-0B00-00002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944" y="16921224"/>
          <a:ext cx="135800" cy="135800"/>
        </a:xfrm>
        <a:prstGeom prst="rect">
          <a:avLst/>
        </a:prstGeom>
      </xdr:spPr>
    </xdr:pic>
    <xdr:clientData fPrintsWithSheet="0"/>
  </xdr:twoCellAnchor>
  <xdr:twoCellAnchor editAs="oneCell">
    <xdr:from>
      <xdr:col>2</xdr:col>
      <xdr:colOff>0</xdr:colOff>
      <xdr:row>107</xdr:row>
      <xdr:rowOff>469</xdr:rowOff>
    </xdr:from>
    <xdr:to>
      <xdr:col>2</xdr:col>
      <xdr:colOff>136221</xdr:colOff>
      <xdr:row>107</xdr:row>
      <xdr:rowOff>136690</xdr:rowOff>
    </xdr:to>
    <xdr:pic>
      <xdr:nvPicPr>
        <xdr:cNvPr id="45" name="Picture 44">
          <a:hlinkClick xmlns:r="http://schemas.openxmlformats.org/officeDocument/2006/relationships" r:id="rId36" tooltip="Go back to annual summary"/>
          <a:extLst>
            <a:ext uri="{FF2B5EF4-FFF2-40B4-BE49-F238E27FC236}">
              <a16:creationId xmlns:a16="http://schemas.microsoft.com/office/drawing/2014/main" id="{00000000-0008-0000-0B00-00002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17084855"/>
          <a:ext cx="136221" cy="136221"/>
        </a:xfrm>
        <a:prstGeom prst="rect">
          <a:avLst/>
        </a:prstGeom>
      </xdr:spPr>
    </xdr:pic>
    <xdr:clientData fPrintsWithSheet="0"/>
  </xdr:twoCellAnchor>
  <xdr:twoCellAnchor editAs="oneCell">
    <xdr:from>
      <xdr:col>2</xdr:col>
      <xdr:colOff>0</xdr:colOff>
      <xdr:row>108</xdr:row>
      <xdr:rowOff>469</xdr:rowOff>
    </xdr:from>
    <xdr:to>
      <xdr:col>2</xdr:col>
      <xdr:colOff>136221</xdr:colOff>
      <xdr:row>108</xdr:row>
      <xdr:rowOff>136690</xdr:rowOff>
    </xdr:to>
    <xdr:pic>
      <xdr:nvPicPr>
        <xdr:cNvPr id="46" name="Picture 45">
          <a:hlinkClick xmlns:r="http://schemas.openxmlformats.org/officeDocument/2006/relationships" r:id="rId37" tooltip="Go back to annual summary"/>
          <a:extLst>
            <a:ext uri="{FF2B5EF4-FFF2-40B4-BE49-F238E27FC236}">
              <a16:creationId xmlns:a16="http://schemas.microsoft.com/office/drawing/2014/main" id="{00000000-0008-0000-0B00-00002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17249378"/>
          <a:ext cx="136221" cy="136221"/>
        </a:xfrm>
        <a:prstGeom prst="rect">
          <a:avLst/>
        </a:prstGeom>
      </xdr:spPr>
    </xdr:pic>
    <xdr:clientData fPrintsWithSheet="0"/>
  </xdr:twoCellAnchor>
  <xdr:twoCellAnchor editAs="oneCell">
    <xdr:from>
      <xdr:col>2</xdr:col>
      <xdr:colOff>0</xdr:colOff>
      <xdr:row>110</xdr:row>
      <xdr:rowOff>469</xdr:rowOff>
    </xdr:from>
    <xdr:to>
      <xdr:col>2</xdr:col>
      <xdr:colOff>136221</xdr:colOff>
      <xdr:row>110</xdr:row>
      <xdr:rowOff>136690</xdr:rowOff>
    </xdr:to>
    <xdr:pic>
      <xdr:nvPicPr>
        <xdr:cNvPr id="47" name="Picture 46">
          <a:hlinkClick xmlns:r="http://schemas.openxmlformats.org/officeDocument/2006/relationships" r:id="rId38" tooltip="Go back to annual summary"/>
          <a:extLst>
            <a:ext uri="{FF2B5EF4-FFF2-40B4-BE49-F238E27FC236}">
              <a16:creationId xmlns:a16="http://schemas.microsoft.com/office/drawing/2014/main" id="{00000000-0008-0000-0B00-00002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17578424"/>
          <a:ext cx="136221" cy="136221"/>
        </a:xfrm>
        <a:prstGeom prst="rect">
          <a:avLst/>
        </a:prstGeom>
      </xdr:spPr>
    </xdr:pic>
    <xdr:clientData fPrintsWithSheet="0"/>
  </xdr:twoCellAnchor>
  <xdr:twoCellAnchor editAs="oneCell">
    <xdr:from>
      <xdr:col>2</xdr:col>
      <xdr:colOff>0</xdr:colOff>
      <xdr:row>111</xdr:row>
      <xdr:rowOff>469</xdr:rowOff>
    </xdr:from>
    <xdr:to>
      <xdr:col>2</xdr:col>
      <xdr:colOff>136221</xdr:colOff>
      <xdr:row>111</xdr:row>
      <xdr:rowOff>136690</xdr:rowOff>
    </xdr:to>
    <xdr:pic>
      <xdr:nvPicPr>
        <xdr:cNvPr id="48" name="Picture 47">
          <a:hlinkClick xmlns:r="http://schemas.openxmlformats.org/officeDocument/2006/relationships" r:id="rId39" tooltip="Go back to annual summary"/>
          <a:extLst>
            <a:ext uri="{FF2B5EF4-FFF2-40B4-BE49-F238E27FC236}">
              <a16:creationId xmlns:a16="http://schemas.microsoft.com/office/drawing/2014/main" id="{00000000-0008-0000-0B00-00003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17742946"/>
          <a:ext cx="136221" cy="136221"/>
        </a:xfrm>
        <a:prstGeom prst="rect">
          <a:avLst/>
        </a:prstGeom>
      </xdr:spPr>
    </xdr:pic>
    <xdr:clientData fPrintsWithSheet="0"/>
  </xdr:twoCellAnchor>
  <xdr:twoCellAnchor editAs="oneCell">
    <xdr:from>
      <xdr:col>2</xdr:col>
      <xdr:colOff>0</xdr:colOff>
      <xdr:row>112</xdr:row>
      <xdr:rowOff>469</xdr:rowOff>
    </xdr:from>
    <xdr:to>
      <xdr:col>2</xdr:col>
      <xdr:colOff>136221</xdr:colOff>
      <xdr:row>112</xdr:row>
      <xdr:rowOff>136690</xdr:rowOff>
    </xdr:to>
    <xdr:pic>
      <xdr:nvPicPr>
        <xdr:cNvPr id="49" name="Picture 48">
          <a:hlinkClick xmlns:r="http://schemas.openxmlformats.org/officeDocument/2006/relationships" r:id="rId40" tooltip="Go back to annual summary"/>
          <a:extLst>
            <a:ext uri="{FF2B5EF4-FFF2-40B4-BE49-F238E27FC236}">
              <a16:creationId xmlns:a16="http://schemas.microsoft.com/office/drawing/2014/main" id="{00000000-0008-0000-0B00-00003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17907469"/>
          <a:ext cx="136221" cy="136221"/>
        </a:xfrm>
        <a:prstGeom prst="rect">
          <a:avLst/>
        </a:prstGeom>
      </xdr:spPr>
    </xdr:pic>
    <xdr:clientData fPrintsWithSheet="0"/>
  </xdr:twoCellAnchor>
  <xdr:twoCellAnchor editAs="oneCell">
    <xdr:from>
      <xdr:col>2</xdr:col>
      <xdr:colOff>0</xdr:colOff>
      <xdr:row>113</xdr:row>
      <xdr:rowOff>469</xdr:rowOff>
    </xdr:from>
    <xdr:to>
      <xdr:col>2</xdr:col>
      <xdr:colOff>136221</xdr:colOff>
      <xdr:row>113</xdr:row>
      <xdr:rowOff>136690</xdr:rowOff>
    </xdr:to>
    <xdr:pic>
      <xdr:nvPicPr>
        <xdr:cNvPr id="50" name="Picture 49">
          <a:hlinkClick xmlns:r="http://schemas.openxmlformats.org/officeDocument/2006/relationships" r:id="rId41" tooltip="Go back to annual summary"/>
          <a:extLst>
            <a:ext uri="{FF2B5EF4-FFF2-40B4-BE49-F238E27FC236}">
              <a16:creationId xmlns:a16="http://schemas.microsoft.com/office/drawing/2014/main" id="{00000000-0008-0000-0B00-00003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18071992"/>
          <a:ext cx="136221" cy="136221"/>
        </a:xfrm>
        <a:prstGeom prst="rect">
          <a:avLst/>
        </a:prstGeom>
      </xdr:spPr>
    </xdr:pic>
    <xdr:clientData fPrintsWithSheet="0"/>
  </xdr:twoCellAnchor>
  <xdr:twoCellAnchor editAs="oneCell">
    <xdr:from>
      <xdr:col>2</xdr:col>
      <xdr:colOff>421</xdr:colOff>
      <xdr:row>109</xdr:row>
      <xdr:rowOff>1360</xdr:rowOff>
    </xdr:from>
    <xdr:to>
      <xdr:col>2</xdr:col>
      <xdr:colOff>136221</xdr:colOff>
      <xdr:row>109</xdr:row>
      <xdr:rowOff>137160</xdr:rowOff>
    </xdr:to>
    <xdr:pic>
      <xdr:nvPicPr>
        <xdr:cNvPr id="51" name="Picture 50">
          <a:hlinkClick xmlns:r="http://schemas.openxmlformats.org/officeDocument/2006/relationships" r:id="rId42" tooltip="Go back to annual summary"/>
          <a:extLst>
            <a:ext uri="{FF2B5EF4-FFF2-40B4-BE49-F238E27FC236}">
              <a16:creationId xmlns:a16="http://schemas.microsoft.com/office/drawing/2014/main" id="{00000000-0008-0000-0B00-00003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944" y="17414792"/>
          <a:ext cx="135800" cy="135800"/>
        </a:xfrm>
        <a:prstGeom prst="rect">
          <a:avLst/>
        </a:prstGeom>
      </xdr:spPr>
    </xdr:pic>
    <xdr:clientData fPrintsWithSheet="0"/>
  </xdr:twoCellAnchor>
  <xdr:twoCellAnchor editAs="oneCell">
    <xdr:from>
      <xdr:col>2</xdr:col>
      <xdr:colOff>0</xdr:colOff>
      <xdr:row>114</xdr:row>
      <xdr:rowOff>469</xdr:rowOff>
    </xdr:from>
    <xdr:to>
      <xdr:col>2</xdr:col>
      <xdr:colOff>136221</xdr:colOff>
      <xdr:row>114</xdr:row>
      <xdr:rowOff>136690</xdr:rowOff>
    </xdr:to>
    <xdr:pic>
      <xdr:nvPicPr>
        <xdr:cNvPr id="52" name="Picture 51">
          <a:hlinkClick xmlns:r="http://schemas.openxmlformats.org/officeDocument/2006/relationships" r:id="rId43" tooltip="Go back to annual summary"/>
          <a:extLst>
            <a:ext uri="{FF2B5EF4-FFF2-40B4-BE49-F238E27FC236}">
              <a16:creationId xmlns:a16="http://schemas.microsoft.com/office/drawing/2014/main" id="{00000000-0008-0000-0B00-00003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18236514"/>
          <a:ext cx="136221" cy="136221"/>
        </a:xfrm>
        <a:prstGeom prst="rect">
          <a:avLst/>
        </a:prstGeom>
      </xdr:spPr>
    </xdr:pic>
    <xdr:clientData fPrintsWithSheet="0"/>
  </xdr:twoCellAnchor>
  <xdr:twoCellAnchor editAs="oneCell">
    <xdr:from>
      <xdr:col>2</xdr:col>
      <xdr:colOff>0</xdr:colOff>
      <xdr:row>118</xdr:row>
      <xdr:rowOff>469</xdr:rowOff>
    </xdr:from>
    <xdr:to>
      <xdr:col>2</xdr:col>
      <xdr:colOff>136221</xdr:colOff>
      <xdr:row>118</xdr:row>
      <xdr:rowOff>136690</xdr:rowOff>
    </xdr:to>
    <xdr:pic>
      <xdr:nvPicPr>
        <xdr:cNvPr id="53" name="Picture 52">
          <a:hlinkClick xmlns:r="http://schemas.openxmlformats.org/officeDocument/2006/relationships" r:id="rId44" tooltip="Go back to annual summary"/>
          <a:extLst>
            <a:ext uri="{FF2B5EF4-FFF2-40B4-BE49-F238E27FC236}">
              <a16:creationId xmlns:a16="http://schemas.microsoft.com/office/drawing/2014/main" id="{00000000-0008-0000-0B00-00003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18972537"/>
          <a:ext cx="136221" cy="136221"/>
        </a:xfrm>
        <a:prstGeom prst="rect">
          <a:avLst/>
        </a:prstGeom>
      </xdr:spPr>
    </xdr:pic>
    <xdr:clientData fPrintsWithSheet="0"/>
  </xdr:twoCellAnchor>
  <xdr:twoCellAnchor editAs="oneCell">
    <xdr:from>
      <xdr:col>2</xdr:col>
      <xdr:colOff>421</xdr:colOff>
      <xdr:row>119</xdr:row>
      <xdr:rowOff>1360</xdr:rowOff>
    </xdr:from>
    <xdr:to>
      <xdr:col>2</xdr:col>
      <xdr:colOff>136221</xdr:colOff>
      <xdr:row>119</xdr:row>
      <xdr:rowOff>137160</xdr:rowOff>
    </xdr:to>
    <xdr:pic>
      <xdr:nvPicPr>
        <xdr:cNvPr id="54" name="Picture 53">
          <a:hlinkClick xmlns:r="http://schemas.openxmlformats.org/officeDocument/2006/relationships" r:id="rId45" tooltip="Go back to annual summary"/>
          <a:extLst>
            <a:ext uri="{FF2B5EF4-FFF2-40B4-BE49-F238E27FC236}">
              <a16:creationId xmlns:a16="http://schemas.microsoft.com/office/drawing/2014/main" id="{00000000-0008-0000-0B00-00003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944" y="19137951"/>
          <a:ext cx="135800" cy="135800"/>
        </a:xfrm>
        <a:prstGeom prst="rect">
          <a:avLst/>
        </a:prstGeom>
      </xdr:spPr>
    </xdr:pic>
    <xdr:clientData fPrintsWithSheet="0"/>
  </xdr:twoCellAnchor>
  <xdr:twoCellAnchor editAs="oneCell">
    <xdr:from>
      <xdr:col>2</xdr:col>
      <xdr:colOff>0</xdr:colOff>
      <xdr:row>120</xdr:row>
      <xdr:rowOff>469</xdr:rowOff>
    </xdr:from>
    <xdr:to>
      <xdr:col>2</xdr:col>
      <xdr:colOff>136221</xdr:colOff>
      <xdr:row>120</xdr:row>
      <xdr:rowOff>136690</xdr:rowOff>
    </xdr:to>
    <xdr:pic>
      <xdr:nvPicPr>
        <xdr:cNvPr id="55" name="Picture 54">
          <a:hlinkClick xmlns:r="http://schemas.openxmlformats.org/officeDocument/2006/relationships" r:id="rId46" tooltip="Go back to annual summary"/>
          <a:extLst>
            <a:ext uri="{FF2B5EF4-FFF2-40B4-BE49-F238E27FC236}">
              <a16:creationId xmlns:a16="http://schemas.microsoft.com/office/drawing/2014/main" id="{00000000-0008-0000-0B00-00003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19301583"/>
          <a:ext cx="136221" cy="136221"/>
        </a:xfrm>
        <a:prstGeom prst="rect">
          <a:avLst/>
        </a:prstGeom>
      </xdr:spPr>
    </xdr:pic>
    <xdr:clientData fPrintsWithSheet="0"/>
  </xdr:twoCellAnchor>
  <xdr:twoCellAnchor editAs="oneCell">
    <xdr:from>
      <xdr:col>2</xdr:col>
      <xdr:colOff>0</xdr:colOff>
      <xdr:row>121</xdr:row>
      <xdr:rowOff>469</xdr:rowOff>
    </xdr:from>
    <xdr:to>
      <xdr:col>2</xdr:col>
      <xdr:colOff>136221</xdr:colOff>
      <xdr:row>121</xdr:row>
      <xdr:rowOff>136690</xdr:rowOff>
    </xdr:to>
    <xdr:pic>
      <xdr:nvPicPr>
        <xdr:cNvPr id="56" name="Picture 55">
          <a:hlinkClick xmlns:r="http://schemas.openxmlformats.org/officeDocument/2006/relationships" r:id="rId47" tooltip="Go back to annual summary"/>
          <a:extLst>
            <a:ext uri="{FF2B5EF4-FFF2-40B4-BE49-F238E27FC236}">
              <a16:creationId xmlns:a16="http://schemas.microsoft.com/office/drawing/2014/main" id="{00000000-0008-0000-0B00-00003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19466105"/>
          <a:ext cx="136221" cy="136221"/>
        </a:xfrm>
        <a:prstGeom prst="rect">
          <a:avLst/>
        </a:prstGeom>
      </xdr:spPr>
    </xdr:pic>
    <xdr:clientData fPrintsWithSheet="0"/>
  </xdr:twoCellAnchor>
  <xdr:twoCellAnchor editAs="oneCell">
    <xdr:from>
      <xdr:col>2</xdr:col>
      <xdr:colOff>0</xdr:colOff>
      <xdr:row>247</xdr:row>
      <xdr:rowOff>469</xdr:rowOff>
    </xdr:from>
    <xdr:to>
      <xdr:col>2</xdr:col>
      <xdr:colOff>136221</xdr:colOff>
      <xdr:row>247</xdr:row>
      <xdr:rowOff>136690</xdr:rowOff>
    </xdr:to>
    <xdr:pic>
      <xdr:nvPicPr>
        <xdr:cNvPr id="57" name="Picture 56">
          <a:hlinkClick xmlns:r="http://schemas.openxmlformats.org/officeDocument/2006/relationships" r:id="rId48" tooltip="Go back to annual summary"/>
          <a:extLst>
            <a:ext uri="{FF2B5EF4-FFF2-40B4-BE49-F238E27FC236}">
              <a16:creationId xmlns:a16="http://schemas.microsoft.com/office/drawing/2014/main" id="{00000000-0008-0000-0B00-00003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2141764"/>
          <a:ext cx="136221" cy="136221"/>
        </a:xfrm>
        <a:prstGeom prst="rect">
          <a:avLst/>
        </a:prstGeom>
      </xdr:spPr>
    </xdr:pic>
    <xdr:clientData fPrintsWithSheet="0"/>
  </xdr:twoCellAnchor>
  <xdr:twoCellAnchor editAs="oneCell">
    <xdr:from>
      <xdr:col>2</xdr:col>
      <xdr:colOff>0</xdr:colOff>
      <xdr:row>122</xdr:row>
      <xdr:rowOff>469</xdr:rowOff>
    </xdr:from>
    <xdr:to>
      <xdr:col>2</xdr:col>
      <xdr:colOff>136221</xdr:colOff>
      <xdr:row>122</xdr:row>
      <xdr:rowOff>136690</xdr:rowOff>
    </xdr:to>
    <xdr:pic>
      <xdr:nvPicPr>
        <xdr:cNvPr id="58" name="Picture 57">
          <a:hlinkClick xmlns:r="http://schemas.openxmlformats.org/officeDocument/2006/relationships" r:id="rId49" tooltip="Go back to annual summary"/>
          <a:extLst>
            <a:ext uri="{FF2B5EF4-FFF2-40B4-BE49-F238E27FC236}">
              <a16:creationId xmlns:a16="http://schemas.microsoft.com/office/drawing/2014/main" id="{00000000-0008-0000-0B00-00003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19795151"/>
          <a:ext cx="136221" cy="136221"/>
        </a:xfrm>
        <a:prstGeom prst="rect">
          <a:avLst/>
        </a:prstGeom>
      </xdr:spPr>
    </xdr:pic>
    <xdr:clientData fPrintsWithSheet="0"/>
  </xdr:twoCellAnchor>
  <xdr:twoCellAnchor editAs="oneCell">
    <xdr:from>
      <xdr:col>2</xdr:col>
      <xdr:colOff>0</xdr:colOff>
      <xdr:row>123</xdr:row>
      <xdr:rowOff>469</xdr:rowOff>
    </xdr:from>
    <xdr:to>
      <xdr:col>2</xdr:col>
      <xdr:colOff>136221</xdr:colOff>
      <xdr:row>123</xdr:row>
      <xdr:rowOff>136690</xdr:rowOff>
    </xdr:to>
    <xdr:pic>
      <xdr:nvPicPr>
        <xdr:cNvPr id="59" name="Picture 58">
          <a:hlinkClick xmlns:r="http://schemas.openxmlformats.org/officeDocument/2006/relationships" r:id="rId50" tooltip="Go back to annual summary"/>
          <a:extLst>
            <a:ext uri="{FF2B5EF4-FFF2-40B4-BE49-F238E27FC236}">
              <a16:creationId xmlns:a16="http://schemas.microsoft.com/office/drawing/2014/main" id="{00000000-0008-0000-0B00-00003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19959674"/>
          <a:ext cx="136221" cy="136221"/>
        </a:xfrm>
        <a:prstGeom prst="rect">
          <a:avLst/>
        </a:prstGeom>
      </xdr:spPr>
    </xdr:pic>
    <xdr:clientData fPrintsWithSheet="0"/>
  </xdr:twoCellAnchor>
  <xdr:twoCellAnchor editAs="oneCell">
    <xdr:from>
      <xdr:col>2</xdr:col>
      <xdr:colOff>0</xdr:colOff>
      <xdr:row>136</xdr:row>
      <xdr:rowOff>469</xdr:rowOff>
    </xdr:from>
    <xdr:to>
      <xdr:col>2</xdr:col>
      <xdr:colOff>136221</xdr:colOff>
      <xdr:row>136</xdr:row>
      <xdr:rowOff>136690</xdr:rowOff>
    </xdr:to>
    <xdr:pic>
      <xdr:nvPicPr>
        <xdr:cNvPr id="60" name="Picture 59">
          <a:hlinkClick xmlns:r="http://schemas.openxmlformats.org/officeDocument/2006/relationships" r:id="rId51" tooltip="Go back to annual summary"/>
          <a:extLst>
            <a:ext uri="{FF2B5EF4-FFF2-40B4-BE49-F238E27FC236}">
              <a16:creationId xmlns:a16="http://schemas.microsoft.com/office/drawing/2014/main" id="{00000000-0008-0000-0B00-00003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0964128"/>
          <a:ext cx="136221" cy="136221"/>
        </a:xfrm>
        <a:prstGeom prst="rect">
          <a:avLst/>
        </a:prstGeom>
      </xdr:spPr>
    </xdr:pic>
    <xdr:clientData fPrintsWithSheet="0"/>
  </xdr:twoCellAnchor>
  <xdr:twoCellAnchor editAs="oneCell">
    <xdr:from>
      <xdr:col>2</xdr:col>
      <xdr:colOff>0</xdr:colOff>
      <xdr:row>130</xdr:row>
      <xdr:rowOff>469</xdr:rowOff>
    </xdr:from>
    <xdr:to>
      <xdr:col>2</xdr:col>
      <xdr:colOff>136221</xdr:colOff>
      <xdr:row>130</xdr:row>
      <xdr:rowOff>136690</xdr:rowOff>
    </xdr:to>
    <xdr:pic>
      <xdr:nvPicPr>
        <xdr:cNvPr id="61" name="Picture 60">
          <a:hlinkClick xmlns:r="http://schemas.openxmlformats.org/officeDocument/2006/relationships" r:id="rId52" tooltip="Go back to annual summary"/>
          <a:extLst>
            <a:ext uri="{FF2B5EF4-FFF2-40B4-BE49-F238E27FC236}">
              <a16:creationId xmlns:a16="http://schemas.microsoft.com/office/drawing/2014/main" id="{00000000-0008-0000-0B00-00003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16019787"/>
          <a:ext cx="136221" cy="136221"/>
        </a:xfrm>
        <a:prstGeom prst="rect">
          <a:avLst/>
        </a:prstGeom>
      </xdr:spPr>
    </xdr:pic>
    <xdr:clientData fPrintsWithSheet="0"/>
  </xdr:twoCellAnchor>
  <xdr:twoCellAnchor editAs="oneCell">
    <xdr:from>
      <xdr:col>2</xdr:col>
      <xdr:colOff>421</xdr:colOff>
      <xdr:row>150</xdr:row>
      <xdr:rowOff>1360</xdr:rowOff>
    </xdr:from>
    <xdr:to>
      <xdr:col>2</xdr:col>
      <xdr:colOff>136221</xdr:colOff>
      <xdr:row>150</xdr:row>
      <xdr:rowOff>137160</xdr:rowOff>
    </xdr:to>
    <xdr:pic>
      <xdr:nvPicPr>
        <xdr:cNvPr id="62" name="Picture 61">
          <a:hlinkClick xmlns:r="http://schemas.openxmlformats.org/officeDocument/2006/relationships" r:id="rId53" tooltip="Go back to annual summary"/>
          <a:extLst>
            <a:ext uri="{FF2B5EF4-FFF2-40B4-BE49-F238E27FC236}">
              <a16:creationId xmlns:a16="http://schemas.microsoft.com/office/drawing/2014/main" id="{00000000-0008-0000-0B00-00003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944" y="23372246"/>
          <a:ext cx="135800" cy="135800"/>
        </a:xfrm>
        <a:prstGeom prst="rect">
          <a:avLst/>
        </a:prstGeom>
      </xdr:spPr>
    </xdr:pic>
    <xdr:clientData fPrintsWithSheet="0"/>
  </xdr:twoCellAnchor>
  <xdr:twoCellAnchor editAs="oneCell">
    <xdr:from>
      <xdr:col>2</xdr:col>
      <xdr:colOff>0</xdr:colOff>
      <xdr:row>151</xdr:row>
      <xdr:rowOff>469</xdr:rowOff>
    </xdr:from>
    <xdr:to>
      <xdr:col>2</xdr:col>
      <xdr:colOff>136221</xdr:colOff>
      <xdr:row>151</xdr:row>
      <xdr:rowOff>136690</xdr:rowOff>
    </xdr:to>
    <xdr:pic>
      <xdr:nvPicPr>
        <xdr:cNvPr id="63" name="Picture 62">
          <a:hlinkClick xmlns:r="http://schemas.openxmlformats.org/officeDocument/2006/relationships" r:id="rId54" tooltip="Go back to annual summary"/>
          <a:extLst>
            <a:ext uri="{FF2B5EF4-FFF2-40B4-BE49-F238E27FC236}">
              <a16:creationId xmlns:a16="http://schemas.microsoft.com/office/drawing/2014/main" id="{00000000-0008-0000-0B00-00003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3535878"/>
          <a:ext cx="136221" cy="136221"/>
        </a:xfrm>
        <a:prstGeom prst="rect">
          <a:avLst/>
        </a:prstGeom>
      </xdr:spPr>
    </xdr:pic>
    <xdr:clientData fPrintsWithSheet="0"/>
  </xdr:twoCellAnchor>
  <xdr:twoCellAnchor editAs="oneCell">
    <xdr:from>
      <xdr:col>2</xdr:col>
      <xdr:colOff>0</xdr:colOff>
      <xdr:row>152</xdr:row>
      <xdr:rowOff>469</xdr:rowOff>
    </xdr:from>
    <xdr:to>
      <xdr:col>2</xdr:col>
      <xdr:colOff>136221</xdr:colOff>
      <xdr:row>152</xdr:row>
      <xdr:rowOff>136690</xdr:rowOff>
    </xdr:to>
    <xdr:pic>
      <xdr:nvPicPr>
        <xdr:cNvPr id="64" name="Picture 63">
          <a:hlinkClick xmlns:r="http://schemas.openxmlformats.org/officeDocument/2006/relationships" r:id="rId55" tooltip="Go back to annual summary"/>
          <a:extLst>
            <a:ext uri="{FF2B5EF4-FFF2-40B4-BE49-F238E27FC236}">
              <a16:creationId xmlns:a16="http://schemas.microsoft.com/office/drawing/2014/main" id="{00000000-0008-0000-0B00-00004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3700401"/>
          <a:ext cx="136221" cy="136221"/>
        </a:xfrm>
        <a:prstGeom prst="rect">
          <a:avLst/>
        </a:prstGeom>
      </xdr:spPr>
    </xdr:pic>
    <xdr:clientData fPrintsWithSheet="0"/>
  </xdr:twoCellAnchor>
  <xdr:twoCellAnchor editAs="oneCell">
    <xdr:from>
      <xdr:col>2</xdr:col>
      <xdr:colOff>0</xdr:colOff>
      <xdr:row>156</xdr:row>
      <xdr:rowOff>469</xdr:rowOff>
    </xdr:from>
    <xdr:to>
      <xdr:col>2</xdr:col>
      <xdr:colOff>136221</xdr:colOff>
      <xdr:row>156</xdr:row>
      <xdr:rowOff>136690</xdr:rowOff>
    </xdr:to>
    <xdr:pic>
      <xdr:nvPicPr>
        <xdr:cNvPr id="65" name="Picture 64">
          <a:hlinkClick xmlns:r="http://schemas.openxmlformats.org/officeDocument/2006/relationships" r:id="rId56" tooltip="Go back to annual summary"/>
          <a:extLst>
            <a:ext uri="{FF2B5EF4-FFF2-40B4-BE49-F238E27FC236}">
              <a16:creationId xmlns:a16="http://schemas.microsoft.com/office/drawing/2014/main" id="{00000000-0008-0000-0B00-00004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135923" y="25770304"/>
          <a:ext cx="136221" cy="136221"/>
        </a:xfrm>
        <a:prstGeom prst="rect">
          <a:avLst/>
        </a:prstGeom>
      </xdr:spPr>
    </xdr:pic>
    <xdr:clientData fPrintsWithSheet="0"/>
  </xdr:twoCellAnchor>
  <xdr:twoCellAnchor editAs="oneCell">
    <xdr:from>
      <xdr:col>2</xdr:col>
      <xdr:colOff>0</xdr:colOff>
      <xdr:row>160</xdr:row>
      <xdr:rowOff>469</xdr:rowOff>
    </xdr:from>
    <xdr:to>
      <xdr:col>2</xdr:col>
      <xdr:colOff>136221</xdr:colOff>
      <xdr:row>160</xdr:row>
      <xdr:rowOff>136690</xdr:rowOff>
    </xdr:to>
    <xdr:pic>
      <xdr:nvPicPr>
        <xdr:cNvPr id="66" name="Picture 65">
          <a:hlinkClick xmlns:r="http://schemas.openxmlformats.org/officeDocument/2006/relationships" r:id="rId57" tooltip="Go back to annual summary"/>
          <a:extLst>
            <a:ext uri="{FF2B5EF4-FFF2-40B4-BE49-F238E27FC236}">
              <a16:creationId xmlns:a16="http://schemas.microsoft.com/office/drawing/2014/main" id="{00000000-0008-0000-0B00-00004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4704855"/>
          <a:ext cx="136221" cy="136221"/>
        </a:xfrm>
        <a:prstGeom prst="rect">
          <a:avLst/>
        </a:prstGeom>
      </xdr:spPr>
    </xdr:pic>
    <xdr:clientData fPrintsWithSheet="0"/>
  </xdr:twoCellAnchor>
  <xdr:twoCellAnchor editAs="oneCell">
    <xdr:from>
      <xdr:col>2</xdr:col>
      <xdr:colOff>0</xdr:colOff>
      <xdr:row>161</xdr:row>
      <xdr:rowOff>469</xdr:rowOff>
    </xdr:from>
    <xdr:to>
      <xdr:col>2</xdr:col>
      <xdr:colOff>136221</xdr:colOff>
      <xdr:row>161</xdr:row>
      <xdr:rowOff>136690</xdr:rowOff>
    </xdr:to>
    <xdr:pic>
      <xdr:nvPicPr>
        <xdr:cNvPr id="67" name="Picture 66">
          <a:hlinkClick xmlns:r="http://schemas.openxmlformats.org/officeDocument/2006/relationships" r:id="rId58" tooltip="Go back to annual summary"/>
          <a:extLst>
            <a:ext uri="{FF2B5EF4-FFF2-40B4-BE49-F238E27FC236}">
              <a16:creationId xmlns:a16="http://schemas.microsoft.com/office/drawing/2014/main" id="{00000000-0008-0000-0B00-00004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4869378"/>
          <a:ext cx="136221" cy="136221"/>
        </a:xfrm>
        <a:prstGeom prst="rect">
          <a:avLst/>
        </a:prstGeom>
      </xdr:spPr>
    </xdr:pic>
    <xdr:clientData fPrintsWithSheet="0"/>
  </xdr:twoCellAnchor>
  <xdr:twoCellAnchor editAs="oneCell">
    <xdr:from>
      <xdr:col>2</xdr:col>
      <xdr:colOff>421</xdr:colOff>
      <xdr:row>162</xdr:row>
      <xdr:rowOff>1360</xdr:rowOff>
    </xdr:from>
    <xdr:to>
      <xdr:col>2</xdr:col>
      <xdr:colOff>136221</xdr:colOff>
      <xdr:row>162</xdr:row>
      <xdr:rowOff>137160</xdr:rowOff>
    </xdr:to>
    <xdr:pic>
      <xdr:nvPicPr>
        <xdr:cNvPr id="68" name="Picture 67">
          <a:hlinkClick xmlns:r="http://schemas.openxmlformats.org/officeDocument/2006/relationships" r:id="rId59" tooltip="Go back to annual summary"/>
          <a:extLst>
            <a:ext uri="{FF2B5EF4-FFF2-40B4-BE49-F238E27FC236}">
              <a16:creationId xmlns:a16="http://schemas.microsoft.com/office/drawing/2014/main" id="{00000000-0008-0000-0B00-00004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944" y="25034792"/>
          <a:ext cx="135800" cy="135800"/>
        </a:xfrm>
        <a:prstGeom prst="rect">
          <a:avLst/>
        </a:prstGeom>
      </xdr:spPr>
    </xdr:pic>
    <xdr:clientData fPrintsWithSheet="0"/>
  </xdr:twoCellAnchor>
  <xdr:twoCellAnchor editAs="oneCell">
    <xdr:from>
      <xdr:col>2</xdr:col>
      <xdr:colOff>0</xdr:colOff>
      <xdr:row>163</xdr:row>
      <xdr:rowOff>469</xdr:rowOff>
    </xdr:from>
    <xdr:to>
      <xdr:col>2</xdr:col>
      <xdr:colOff>136221</xdr:colOff>
      <xdr:row>163</xdr:row>
      <xdr:rowOff>136690</xdr:rowOff>
    </xdr:to>
    <xdr:pic>
      <xdr:nvPicPr>
        <xdr:cNvPr id="69" name="Picture 68">
          <a:hlinkClick xmlns:r="http://schemas.openxmlformats.org/officeDocument/2006/relationships" r:id="rId60" tooltip="Go back to annual summary"/>
          <a:extLst>
            <a:ext uri="{FF2B5EF4-FFF2-40B4-BE49-F238E27FC236}">
              <a16:creationId xmlns:a16="http://schemas.microsoft.com/office/drawing/2014/main" id="{00000000-0008-0000-0B00-00004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5198424"/>
          <a:ext cx="136221" cy="136221"/>
        </a:xfrm>
        <a:prstGeom prst="rect">
          <a:avLst/>
        </a:prstGeom>
      </xdr:spPr>
    </xdr:pic>
    <xdr:clientData fPrintsWithSheet="0"/>
  </xdr:twoCellAnchor>
  <xdr:twoCellAnchor editAs="oneCell">
    <xdr:from>
      <xdr:col>2</xdr:col>
      <xdr:colOff>0</xdr:colOff>
      <xdr:row>174</xdr:row>
      <xdr:rowOff>469</xdr:rowOff>
    </xdr:from>
    <xdr:to>
      <xdr:col>2</xdr:col>
      <xdr:colOff>136221</xdr:colOff>
      <xdr:row>174</xdr:row>
      <xdr:rowOff>136690</xdr:rowOff>
    </xdr:to>
    <xdr:pic>
      <xdr:nvPicPr>
        <xdr:cNvPr id="70" name="Picture 69">
          <a:hlinkClick xmlns:r="http://schemas.openxmlformats.org/officeDocument/2006/relationships" r:id="rId61" tooltip="Go back to annual summary"/>
          <a:extLst>
            <a:ext uri="{FF2B5EF4-FFF2-40B4-BE49-F238E27FC236}">
              <a16:creationId xmlns:a16="http://schemas.microsoft.com/office/drawing/2014/main" id="{00000000-0008-0000-0B00-00004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7008174"/>
          <a:ext cx="136221" cy="136221"/>
        </a:xfrm>
        <a:prstGeom prst="rect">
          <a:avLst/>
        </a:prstGeom>
      </xdr:spPr>
    </xdr:pic>
    <xdr:clientData fPrintsWithSheet="0"/>
  </xdr:twoCellAnchor>
  <xdr:twoCellAnchor editAs="oneCell">
    <xdr:from>
      <xdr:col>2</xdr:col>
      <xdr:colOff>0</xdr:colOff>
      <xdr:row>175</xdr:row>
      <xdr:rowOff>469</xdr:rowOff>
    </xdr:from>
    <xdr:to>
      <xdr:col>2</xdr:col>
      <xdr:colOff>136221</xdr:colOff>
      <xdr:row>175</xdr:row>
      <xdr:rowOff>136690</xdr:rowOff>
    </xdr:to>
    <xdr:pic>
      <xdr:nvPicPr>
        <xdr:cNvPr id="71" name="Picture 70">
          <a:hlinkClick xmlns:r="http://schemas.openxmlformats.org/officeDocument/2006/relationships" r:id="rId62" tooltip="Go back to annual summary"/>
          <a:extLst>
            <a:ext uri="{FF2B5EF4-FFF2-40B4-BE49-F238E27FC236}">
              <a16:creationId xmlns:a16="http://schemas.microsoft.com/office/drawing/2014/main" id="{00000000-0008-0000-0B00-00004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7172696"/>
          <a:ext cx="136221" cy="136221"/>
        </a:xfrm>
        <a:prstGeom prst="rect">
          <a:avLst/>
        </a:prstGeom>
      </xdr:spPr>
    </xdr:pic>
    <xdr:clientData fPrintsWithSheet="0"/>
  </xdr:twoCellAnchor>
  <xdr:twoCellAnchor editAs="oneCell">
    <xdr:from>
      <xdr:col>2</xdr:col>
      <xdr:colOff>0</xdr:colOff>
      <xdr:row>176</xdr:row>
      <xdr:rowOff>469</xdr:rowOff>
    </xdr:from>
    <xdr:to>
      <xdr:col>2</xdr:col>
      <xdr:colOff>136221</xdr:colOff>
      <xdr:row>176</xdr:row>
      <xdr:rowOff>136690</xdr:rowOff>
    </xdr:to>
    <xdr:pic>
      <xdr:nvPicPr>
        <xdr:cNvPr id="72" name="Picture 71">
          <a:hlinkClick xmlns:r="http://schemas.openxmlformats.org/officeDocument/2006/relationships" r:id="rId63" tooltip="Go back to annual summary"/>
          <a:extLst>
            <a:ext uri="{FF2B5EF4-FFF2-40B4-BE49-F238E27FC236}">
              <a16:creationId xmlns:a16="http://schemas.microsoft.com/office/drawing/2014/main" id="{00000000-0008-0000-0B00-00004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7337219"/>
          <a:ext cx="136221" cy="136221"/>
        </a:xfrm>
        <a:prstGeom prst="rect">
          <a:avLst/>
        </a:prstGeom>
      </xdr:spPr>
    </xdr:pic>
    <xdr:clientData fPrintsWithSheet="0"/>
  </xdr:twoCellAnchor>
  <xdr:twoCellAnchor editAs="oneCell">
    <xdr:from>
      <xdr:col>2</xdr:col>
      <xdr:colOff>0</xdr:colOff>
      <xdr:row>178</xdr:row>
      <xdr:rowOff>469</xdr:rowOff>
    </xdr:from>
    <xdr:to>
      <xdr:col>2</xdr:col>
      <xdr:colOff>136221</xdr:colOff>
      <xdr:row>178</xdr:row>
      <xdr:rowOff>136690</xdr:rowOff>
    </xdr:to>
    <xdr:pic>
      <xdr:nvPicPr>
        <xdr:cNvPr id="73" name="Picture 72">
          <a:hlinkClick xmlns:r="http://schemas.openxmlformats.org/officeDocument/2006/relationships" r:id="rId64" tooltip="Go back to annual summary"/>
          <a:extLst>
            <a:ext uri="{FF2B5EF4-FFF2-40B4-BE49-F238E27FC236}">
              <a16:creationId xmlns:a16="http://schemas.microsoft.com/office/drawing/2014/main" id="{00000000-0008-0000-0B00-00004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7666264"/>
          <a:ext cx="136221" cy="136221"/>
        </a:xfrm>
        <a:prstGeom prst="rect">
          <a:avLst/>
        </a:prstGeom>
      </xdr:spPr>
    </xdr:pic>
    <xdr:clientData fPrintsWithSheet="0"/>
  </xdr:twoCellAnchor>
  <xdr:twoCellAnchor editAs="oneCell">
    <xdr:from>
      <xdr:col>2</xdr:col>
      <xdr:colOff>0</xdr:colOff>
      <xdr:row>179</xdr:row>
      <xdr:rowOff>469</xdr:rowOff>
    </xdr:from>
    <xdr:to>
      <xdr:col>2</xdr:col>
      <xdr:colOff>136221</xdr:colOff>
      <xdr:row>179</xdr:row>
      <xdr:rowOff>136690</xdr:rowOff>
    </xdr:to>
    <xdr:pic>
      <xdr:nvPicPr>
        <xdr:cNvPr id="74" name="Picture 73">
          <a:hlinkClick xmlns:r="http://schemas.openxmlformats.org/officeDocument/2006/relationships" r:id="rId65" tooltip="Go back to annual summary"/>
          <a:extLst>
            <a:ext uri="{FF2B5EF4-FFF2-40B4-BE49-F238E27FC236}">
              <a16:creationId xmlns:a16="http://schemas.microsoft.com/office/drawing/2014/main" id="{00000000-0008-0000-0B00-00004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7830787"/>
          <a:ext cx="136221" cy="136221"/>
        </a:xfrm>
        <a:prstGeom prst="rect">
          <a:avLst/>
        </a:prstGeom>
      </xdr:spPr>
    </xdr:pic>
    <xdr:clientData fPrintsWithSheet="0"/>
  </xdr:twoCellAnchor>
  <xdr:twoCellAnchor editAs="oneCell">
    <xdr:from>
      <xdr:col>2</xdr:col>
      <xdr:colOff>421</xdr:colOff>
      <xdr:row>185</xdr:row>
      <xdr:rowOff>1360</xdr:rowOff>
    </xdr:from>
    <xdr:to>
      <xdr:col>2</xdr:col>
      <xdr:colOff>136221</xdr:colOff>
      <xdr:row>185</xdr:row>
      <xdr:rowOff>137160</xdr:rowOff>
    </xdr:to>
    <xdr:pic>
      <xdr:nvPicPr>
        <xdr:cNvPr id="76" name="Picture 75">
          <a:hlinkClick xmlns:r="http://schemas.openxmlformats.org/officeDocument/2006/relationships" r:id="rId66" tooltip="Go back to annual summary"/>
          <a:extLst>
            <a:ext uri="{FF2B5EF4-FFF2-40B4-BE49-F238E27FC236}">
              <a16:creationId xmlns:a16="http://schemas.microsoft.com/office/drawing/2014/main" id="{00000000-0008-0000-0B00-00004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944" y="28325246"/>
          <a:ext cx="135800" cy="135800"/>
        </a:xfrm>
        <a:prstGeom prst="rect">
          <a:avLst/>
        </a:prstGeom>
      </xdr:spPr>
    </xdr:pic>
    <xdr:clientData fPrintsWithSheet="0"/>
  </xdr:twoCellAnchor>
  <xdr:twoCellAnchor editAs="oneCell">
    <xdr:from>
      <xdr:col>2</xdr:col>
      <xdr:colOff>0</xdr:colOff>
      <xdr:row>186</xdr:row>
      <xdr:rowOff>469</xdr:rowOff>
    </xdr:from>
    <xdr:to>
      <xdr:col>2</xdr:col>
      <xdr:colOff>136221</xdr:colOff>
      <xdr:row>186</xdr:row>
      <xdr:rowOff>136690</xdr:rowOff>
    </xdr:to>
    <xdr:pic>
      <xdr:nvPicPr>
        <xdr:cNvPr id="77" name="Picture 76">
          <a:hlinkClick xmlns:r="http://schemas.openxmlformats.org/officeDocument/2006/relationships" r:id="rId67" tooltip="Go back to annual summary"/>
          <a:extLst>
            <a:ext uri="{FF2B5EF4-FFF2-40B4-BE49-F238E27FC236}">
              <a16:creationId xmlns:a16="http://schemas.microsoft.com/office/drawing/2014/main" id="{00000000-0008-0000-0B00-00004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8488878"/>
          <a:ext cx="136221" cy="136221"/>
        </a:xfrm>
        <a:prstGeom prst="rect">
          <a:avLst/>
        </a:prstGeom>
      </xdr:spPr>
    </xdr:pic>
    <xdr:clientData fPrintsWithSheet="0"/>
  </xdr:twoCellAnchor>
  <xdr:twoCellAnchor editAs="oneCell">
    <xdr:from>
      <xdr:col>2</xdr:col>
      <xdr:colOff>0</xdr:colOff>
      <xdr:row>83</xdr:row>
      <xdr:rowOff>469</xdr:rowOff>
    </xdr:from>
    <xdr:to>
      <xdr:col>2</xdr:col>
      <xdr:colOff>136221</xdr:colOff>
      <xdr:row>83</xdr:row>
      <xdr:rowOff>136690</xdr:rowOff>
    </xdr:to>
    <xdr:pic>
      <xdr:nvPicPr>
        <xdr:cNvPr id="75" name="Picture 74">
          <a:hlinkClick xmlns:r="http://schemas.openxmlformats.org/officeDocument/2006/relationships" r:id="rId68" tooltip="Go back to annual summary"/>
          <a:extLst>
            <a:ext uri="{FF2B5EF4-FFF2-40B4-BE49-F238E27FC236}">
              <a16:creationId xmlns:a16="http://schemas.microsoft.com/office/drawing/2014/main" id="{00000000-0008-0000-0B00-00004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7525" y="7296619"/>
          <a:ext cx="136221" cy="136221"/>
        </a:xfrm>
        <a:prstGeom prst="rect">
          <a:avLst/>
        </a:prstGeom>
      </xdr:spPr>
    </xdr:pic>
    <xdr:clientData fPrintsWithSheet="0"/>
  </xdr:twoCellAnchor>
  <xdr:twoCellAnchor editAs="oneCell">
    <xdr:from>
      <xdr:col>2</xdr:col>
      <xdr:colOff>0</xdr:colOff>
      <xdr:row>68</xdr:row>
      <xdr:rowOff>469</xdr:rowOff>
    </xdr:from>
    <xdr:to>
      <xdr:col>2</xdr:col>
      <xdr:colOff>136221</xdr:colOff>
      <xdr:row>68</xdr:row>
      <xdr:rowOff>136690</xdr:rowOff>
    </xdr:to>
    <xdr:pic>
      <xdr:nvPicPr>
        <xdr:cNvPr id="78" name="Picture 77">
          <a:hlinkClick xmlns:r="http://schemas.openxmlformats.org/officeDocument/2006/relationships" r:id="rId69" tooltip="Go back to annual summary"/>
          <a:extLst>
            <a:ext uri="{FF2B5EF4-FFF2-40B4-BE49-F238E27FC236}">
              <a16:creationId xmlns:a16="http://schemas.microsoft.com/office/drawing/2014/main" id="{00000000-0008-0000-0B00-00004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7525" y="7458544"/>
          <a:ext cx="136221" cy="136221"/>
        </a:xfrm>
        <a:prstGeom prst="rect">
          <a:avLst/>
        </a:prstGeom>
      </xdr:spPr>
    </xdr:pic>
    <xdr:clientData fPrintsWithSheet="0"/>
  </xdr:twoCellAnchor>
  <xdr:twoCellAnchor editAs="oneCell">
    <xdr:from>
      <xdr:col>2</xdr:col>
      <xdr:colOff>0</xdr:colOff>
      <xdr:row>138</xdr:row>
      <xdr:rowOff>469</xdr:rowOff>
    </xdr:from>
    <xdr:to>
      <xdr:col>2</xdr:col>
      <xdr:colOff>136221</xdr:colOff>
      <xdr:row>138</xdr:row>
      <xdr:rowOff>136690</xdr:rowOff>
    </xdr:to>
    <xdr:pic>
      <xdr:nvPicPr>
        <xdr:cNvPr id="79" name="Picture 78">
          <a:hlinkClick xmlns:r="http://schemas.openxmlformats.org/officeDocument/2006/relationships" r:id="rId70" tooltip="Go back to annual summary"/>
          <a:extLst>
            <a:ext uri="{FF2B5EF4-FFF2-40B4-BE49-F238E27FC236}">
              <a16:creationId xmlns:a16="http://schemas.microsoft.com/office/drawing/2014/main" id="{00000000-0008-0000-0B00-00004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1119992"/>
          <a:ext cx="136221" cy="136221"/>
        </a:xfrm>
        <a:prstGeom prst="rect">
          <a:avLst/>
        </a:prstGeom>
      </xdr:spPr>
    </xdr:pic>
    <xdr:clientData fPrintsWithSheet="0"/>
  </xdr:twoCellAnchor>
  <xdr:twoCellAnchor editAs="oneCell">
    <xdr:from>
      <xdr:col>2</xdr:col>
      <xdr:colOff>0</xdr:colOff>
      <xdr:row>131</xdr:row>
      <xdr:rowOff>469</xdr:rowOff>
    </xdr:from>
    <xdr:to>
      <xdr:col>2</xdr:col>
      <xdr:colOff>136221</xdr:colOff>
      <xdr:row>131</xdr:row>
      <xdr:rowOff>136690</xdr:rowOff>
    </xdr:to>
    <xdr:pic>
      <xdr:nvPicPr>
        <xdr:cNvPr id="80" name="Picture 79">
          <a:hlinkClick xmlns:r="http://schemas.openxmlformats.org/officeDocument/2006/relationships" r:id="rId71" tooltip="Go back to annual summary"/>
          <a:extLst>
            <a:ext uri="{FF2B5EF4-FFF2-40B4-BE49-F238E27FC236}">
              <a16:creationId xmlns:a16="http://schemas.microsoft.com/office/drawing/2014/main" id="{00000000-0008-0000-0B00-00005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18816674"/>
          <a:ext cx="136221" cy="136221"/>
        </a:xfrm>
        <a:prstGeom prst="rect">
          <a:avLst/>
        </a:prstGeom>
      </xdr:spPr>
    </xdr:pic>
    <xdr:clientData fPrintsWithSheet="0"/>
  </xdr:twoCellAnchor>
  <xdr:twoCellAnchor editAs="oneCell">
    <xdr:from>
      <xdr:col>2</xdr:col>
      <xdr:colOff>0</xdr:colOff>
      <xdr:row>164</xdr:row>
      <xdr:rowOff>469</xdr:rowOff>
    </xdr:from>
    <xdr:to>
      <xdr:col>2</xdr:col>
      <xdr:colOff>136221</xdr:colOff>
      <xdr:row>164</xdr:row>
      <xdr:rowOff>136690</xdr:rowOff>
    </xdr:to>
    <xdr:pic>
      <xdr:nvPicPr>
        <xdr:cNvPr id="81" name="Picture 80">
          <a:hlinkClick xmlns:r="http://schemas.openxmlformats.org/officeDocument/2006/relationships" r:id="rId72" tooltip="Go back to annual summary"/>
          <a:extLst>
            <a:ext uri="{FF2B5EF4-FFF2-40B4-BE49-F238E27FC236}">
              <a16:creationId xmlns:a16="http://schemas.microsoft.com/office/drawing/2014/main" id="{00000000-0008-0000-0B00-00005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5362946"/>
          <a:ext cx="136221" cy="136221"/>
        </a:xfrm>
        <a:prstGeom prst="rect">
          <a:avLst/>
        </a:prstGeom>
      </xdr:spPr>
    </xdr:pic>
    <xdr:clientData fPrintsWithSheet="0"/>
  </xdr:twoCellAnchor>
  <xdr:twoCellAnchor editAs="oneCell">
    <xdr:from>
      <xdr:col>2</xdr:col>
      <xdr:colOff>0</xdr:colOff>
      <xdr:row>165</xdr:row>
      <xdr:rowOff>469</xdr:rowOff>
    </xdr:from>
    <xdr:to>
      <xdr:col>2</xdr:col>
      <xdr:colOff>136221</xdr:colOff>
      <xdr:row>165</xdr:row>
      <xdr:rowOff>136690</xdr:rowOff>
    </xdr:to>
    <xdr:pic>
      <xdr:nvPicPr>
        <xdr:cNvPr id="82" name="Picture 81">
          <a:hlinkClick xmlns:r="http://schemas.openxmlformats.org/officeDocument/2006/relationships" r:id="rId73" tooltip="Go back to annual summary"/>
          <a:extLst>
            <a:ext uri="{FF2B5EF4-FFF2-40B4-BE49-F238E27FC236}">
              <a16:creationId xmlns:a16="http://schemas.microsoft.com/office/drawing/2014/main" id="{00000000-0008-0000-0B00-00005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5527469"/>
          <a:ext cx="136221" cy="136221"/>
        </a:xfrm>
        <a:prstGeom prst="rect">
          <a:avLst/>
        </a:prstGeom>
      </xdr:spPr>
    </xdr:pic>
    <xdr:clientData fPrintsWithSheet="0"/>
  </xdr:twoCellAnchor>
  <xdr:twoCellAnchor editAs="oneCell">
    <xdr:from>
      <xdr:col>2</xdr:col>
      <xdr:colOff>0</xdr:colOff>
      <xdr:row>166</xdr:row>
      <xdr:rowOff>469</xdr:rowOff>
    </xdr:from>
    <xdr:to>
      <xdr:col>2</xdr:col>
      <xdr:colOff>136221</xdr:colOff>
      <xdr:row>166</xdr:row>
      <xdr:rowOff>136690</xdr:rowOff>
    </xdr:to>
    <xdr:pic>
      <xdr:nvPicPr>
        <xdr:cNvPr id="83" name="Picture 82">
          <a:hlinkClick xmlns:r="http://schemas.openxmlformats.org/officeDocument/2006/relationships" r:id="rId74" tooltip="Go back to annual summary"/>
          <a:extLst>
            <a:ext uri="{FF2B5EF4-FFF2-40B4-BE49-F238E27FC236}">
              <a16:creationId xmlns:a16="http://schemas.microsoft.com/office/drawing/2014/main" id="{00000000-0008-0000-0B00-00005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5691992"/>
          <a:ext cx="136221" cy="136221"/>
        </a:xfrm>
        <a:prstGeom prst="rect">
          <a:avLst/>
        </a:prstGeom>
      </xdr:spPr>
    </xdr:pic>
    <xdr:clientData fPrintsWithSheet="0"/>
  </xdr:twoCellAnchor>
  <xdr:twoCellAnchor editAs="oneCell">
    <xdr:from>
      <xdr:col>2</xdr:col>
      <xdr:colOff>0</xdr:colOff>
      <xdr:row>167</xdr:row>
      <xdr:rowOff>469</xdr:rowOff>
    </xdr:from>
    <xdr:to>
      <xdr:col>2</xdr:col>
      <xdr:colOff>136221</xdr:colOff>
      <xdr:row>167</xdr:row>
      <xdr:rowOff>136690</xdr:rowOff>
    </xdr:to>
    <xdr:pic>
      <xdr:nvPicPr>
        <xdr:cNvPr id="84" name="Picture 83">
          <a:hlinkClick xmlns:r="http://schemas.openxmlformats.org/officeDocument/2006/relationships" r:id="rId75" tooltip="Go back to annual summary"/>
          <a:extLst>
            <a:ext uri="{FF2B5EF4-FFF2-40B4-BE49-F238E27FC236}">
              <a16:creationId xmlns:a16="http://schemas.microsoft.com/office/drawing/2014/main" id="{00000000-0008-0000-0B00-00005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5856514"/>
          <a:ext cx="136221" cy="136221"/>
        </a:xfrm>
        <a:prstGeom prst="rect">
          <a:avLst/>
        </a:prstGeom>
      </xdr:spPr>
    </xdr:pic>
    <xdr:clientData fPrintsWithSheet="0"/>
  </xdr:twoCellAnchor>
  <xdr:twoCellAnchor editAs="oneCell">
    <xdr:from>
      <xdr:col>2</xdr:col>
      <xdr:colOff>0</xdr:colOff>
      <xdr:row>168</xdr:row>
      <xdr:rowOff>469</xdr:rowOff>
    </xdr:from>
    <xdr:to>
      <xdr:col>2</xdr:col>
      <xdr:colOff>136221</xdr:colOff>
      <xdr:row>168</xdr:row>
      <xdr:rowOff>136690</xdr:rowOff>
    </xdr:to>
    <xdr:pic>
      <xdr:nvPicPr>
        <xdr:cNvPr id="85" name="Picture 84">
          <a:hlinkClick xmlns:r="http://schemas.openxmlformats.org/officeDocument/2006/relationships" r:id="rId76" tooltip="Go back to annual summary"/>
          <a:extLst>
            <a:ext uri="{FF2B5EF4-FFF2-40B4-BE49-F238E27FC236}">
              <a16:creationId xmlns:a16="http://schemas.microsoft.com/office/drawing/2014/main" id="{00000000-0008-0000-0B00-00005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6021037"/>
          <a:ext cx="136221" cy="136221"/>
        </a:xfrm>
        <a:prstGeom prst="rect">
          <a:avLst/>
        </a:prstGeom>
      </xdr:spPr>
    </xdr:pic>
    <xdr:clientData fPrintsWithSheet="0"/>
  </xdr:twoCellAnchor>
  <xdr:twoCellAnchor editAs="oneCell">
    <xdr:from>
      <xdr:col>2</xdr:col>
      <xdr:colOff>0</xdr:colOff>
      <xdr:row>169</xdr:row>
      <xdr:rowOff>469</xdr:rowOff>
    </xdr:from>
    <xdr:to>
      <xdr:col>2</xdr:col>
      <xdr:colOff>136221</xdr:colOff>
      <xdr:row>169</xdr:row>
      <xdr:rowOff>136690</xdr:rowOff>
    </xdr:to>
    <xdr:pic>
      <xdr:nvPicPr>
        <xdr:cNvPr id="86" name="Picture 85">
          <a:hlinkClick xmlns:r="http://schemas.openxmlformats.org/officeDocument/2006/relationships" r:id="rId77" tooltip="Go back to annual summary"/>
          <a:extLst>
            <a:ext uri="{FF2B5EF4-FFF2-40B4-BE49-F238E27FC236}">
              <a16:creationId xmlns:a16="http://schemas.microsoft.com/office/drawing/2014/main" id="{00000000-0008-0000-0B00-00005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6185560"/>
          <a:ext cx="136221" cy="136221"/>
        </a:xfrm>
        <a:prstGeom prst="rect">
          <a:avLst/>
        </a:prstGeom>
      </xdr:spPr>
    </xdr:pic>
    <xdr:clientData fPrintsWithSheet="0"/>
  </xdr:twoCellAnchor>
  <xdr:twoCellAnchor editAs="oneCell">
    <xdr:from>
      <xdr:col>2</xdr:col>
      <xdr:colOff>0</xdr:colOff>
      <xdr:row>170</xdr:row>
      <xdr:rowOff>469</xdr:rowOff>
    </xdr:from>
    <xdr:to>
      <xdr:col>2</xdr:col>
      <xdr:colOff>136221</xdr:colOff>
      <xdr:row>170</xdr:row>
      <xdr:rowOff>136690</xdr:rowOff>
    </xdr:to>
    <xdr:pic>
      <xdr:nvPicPr>
        <xdr:cNvPr id="87" name="Picture 86">
          <a:hlinkClick xmlns:r="http://schemas.openxmlformats.org/officeDocument/2006/relationships" r:id="rId78" tooltip="Go back to annual summary"/>
          <a:extLst>
            <a:ext uri="{FF2B5EF4-FFF2-40B4-BE49-F238E27FC236}">
              <a16:creationId xmlns:a16="http://schemas.microsoft.com/office/drawing/2014/main" id="{00000000-0008-0000-0B00-00005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6350083"/>
          <a:ext cx="136221" cy="136221"/>
        </a:xfrm>
        <a:prstGeom prst="rect">
          <a:avLst/>
        </a:prstGeom>
      </xdr:spPr>
    </xdr:pic>
    <xdr:clientData fPrintsWithSheet="0"/>
  </xdr:twoCellAnchor>
  <xdr:twoCellAnchor editAs="oneCell">
    <xdr:from>
      <xdr:col>2</xdr:col>
      <xdr:colOff>421</xdr:colOff>
      <xdr:row>171</xdr:row>
      <xdr:rowOff>1360</xdr:rowOff>
    </xdr:from>
    <xdr:to>
      <xdr:col>2</xdr:col>
      <xdr:colOff>136221</xdr:colOff>
      <xdr:row>171</xdr:row>
      <xdr:rowOff>137160</xdr:rowOff>
    </xdr:to>
    <xdr:pic>
      <xdr:nvPicPr>
        <xdr:cNvPr id="88" name="Picture 87">
          <a:hlinkClick xmlns:r="http://schemas.openxmlformats.org/officeDocument/2006/relationships" r:id="rId79" tooltip="Go back to annual summary"/>
          <a:extLst>
            <a:ext uri="{FF2B5EF4-FFF2-40B4-BE49-F238E27FC236}">
              <a16:creationId xmlns:a16="http://schemas.microsoft.com/office/drawing/2014/main" id="{00000000-0008-0000-0B00-00005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944" y="26515496"/>
          <a:ext cx="135800" cy="135800"/>
        </a:xfrm>
        <a:prstGeom prst="rect">
          <a:avLst/>
        </a:prstGeom>
      </xdr:spPr>
    </xdr:pic>
    <xdr:clientData fPrintsWithSheet="0"/>
  </xdr:twoCellAnchor>
  <xdr:twoCellAnchor editAs="oneCell">
    <xdr:from>
      <xdr:col>2</xdr:col>
      <xdr:colOff>0</xdr:colOff>
      <xdr:row>172</xdr:row>
      <xdr:rowOff>469</xdr:rowOff>
    </xdr:from>
    <xdr:to>
      <xdr:col>2</xdr:col>
      <xdr:colOff>136221</xdr:colOff>
      <xdr:row>172</xdr:row>
      <xdr:rowOff>136690</xdr:rowOff>
    </xdr:to>
    <xdr:pic>
      <xdr:nvPicPr>
        <xdr:cNvPr id="89" name="Picture 88">
          <a:hlinkClick xmlns:r="http://schemas.openxmlformats.org/officeDocument/2006/relationships" r:id="rId80" tooltip="Go back to annual summary"/>
          <a:extLst>
            <a:ext uri="{FF2B5EF4-FFF2-40B4-BE49-F238E27FC236}">
              <a16:creationId xmlns:a16="http://schemas.microsoft.com/office/drawing/2014/main" id="{00000000-0008-0000-0B00-00005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6679128"/>
          <a:ext cx="136221" cy="136221"/>
        </a:xfrm>
        <a:prstGeom prst="rect">
          <a:avLst/>
        </a:prstGeom>
      </xdr:spPr>
    </xdr:pic>
    <xdr:clientData fPrintsWithSheet="0"/>
  </xdr:twoCellAnchor>
  <xdr:twoCellAnchor editAs="oneCell">
    <xdr:from>
      <xdr:col>2</xdr:col>
      <xdr:colOff>0</xdr:colOff>
      <xdr:row>173</xdr:row>
      <xdr:rowOff>469</xdr:rowOff>
    </xdr:from>
    <xdr:to>
      <xdr:col>2</xdr:col>
      <xdr:colOff>136221</xdr:colOff>
      <xdr:row>173</xdr:row>
      <xdr:rowOff>136690</xdr:rowOff>
    </xdr:to>
    <xdr:pic>
      <xdr:nvPicPr>
        <xdr:cNvPr id="90" name="Picture 89">
          <a:hlinkClick xmlns:r="http://schemas.openxmlformats.org/officeDocument/2006/relationships" r:id="rId81" tooltip="Go back to annual summary"/>
          <a:extLst>
            <a:ext uri="{FF2B5EF4-FFF2-40B4-BE49-F238E27FC236}">
              <a16:creationId xmlns:a16="http://schemas.microsoft.com/office/drawing/2014/main" id="{00000000-0008-0000-0B00-00005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6843651"/>
          <a:ext cx="136221" cy="136221"/>
        </a:xfrm>
        <a:prstGeom prst="rect">
          <a:avLst/>
        </a:prstGeom>
      </xdr:spPr>
    </xdr:pic>
    <xdr:clientData fPrintsWithSheet="0"/>
  </xdr:twoCellAnchor>
  <xdr:twoCellAnchor editAs="oneCell">
    <xdr:from>
      <xdr:col>2</xdr:col>
      <xdr:colOff>0</xdr:colOff>
      <xdr:row>177</xdr:row>
      <xdr:rowOff>469</xdr:rowOff>
    </xdr:from>
    <xdr:to>
      <xdr:col>2</xdr:col>
      <xdr:colOff>136221</xdr:colOff>
      <xdr:row>177</xdr:row>
      <xdr:rowOff>136690</xdr:rowOff>
    </xdr:to>
    <xdr:pic>
      <xdr:nvPicPr>
        <xdr:cNvPr id="91" name="Picture 90">
          <a:hlinkClick xmlns:r="http://schemas.openxmlformats.org/officeDocument/2006/relationships" r:id="rId82" tooltip="Go back to annual summary"/>
          <a:extLst>
            <a:ext uri="{FF2B5EF4-FFF2-40B4-BE49-F238E27FC236}">
              <a16:creationId xmlns:a16="http://schemas.microsoft.com/office/drawing/2014/main" id="{00000000-0008-0000-0B00-00005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7501742"/>
          <a:ext cx="136221" cy="136221"/>
        </a:xfrm>
        <a:prstGeom prst="rect">
          <a:avLst/>
        </a:prstGeom>
      </xdr:spPr>
    </xdr:pic>
    <xdr:clientData fPrintsWithSheet="0"/>
  </xdr:twoCellAnchor>
  <xdr:twoCellAnchor editAs="oneCell">
    <xdr:from>
      <xdr:col>1</xdr:col>
      <xdr:colOff>884799</xdr:colOff>
      <xdr:row>0</xdr:row>
      <xdr:rowOff>147637</xdr:rowOff>
    </xdr:from>
    <xdr:to>
      <xdr:col>1</xdr:col>
      <xdr:colOff>1706066</xdr:colOff>
      <xdr:row>4</xdr:row>
      <xdr:rowOff>28166</xdr:rowOff>
    </xdr:to>
    <xdr:sp macro="[0]!PrintBS_Final" textlink="">
      <xdr:nvSpPr>
        <xdr:cNvPr id="92" name="Rectangle 91">
          <a:hlinkClick xmlns:r="http://schemas.openxmlformats.org/officeDocument/2006/relationships" r:id="rId83" tooltip="Go to General Info"/>
          <a:extLst>
            <a:ext uri="{FF2B5EF4-FFF2-40B4-BE49-F238E27FC236}">
              <a16:creationId xmlns:a16="http://schemas.microsoft.com/office/drawing/2014/main" id="{00000000-0008-0000-0B00-00005C000000}"/>
            </a:ext>
          </a:extLst>
        </xdr:cNvPr>
        <xdr:cNvSpPr/>
      </xdr:nvSpPr>
      <xdr:spPr>
        <a:xfrm>
          <a:off x="884799" y="147637"/>
          <a:ext cx="821267" cy="542743"/>
        </a:xfrm>
        <a:prstGeom prst="rect">
          <a:avLst/>
        </a:prstGeom>
        <a:solidFill>
          <a:srgbClr val="F37321"/>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Go</a:t>
          </a:r>
          <a:r>
            <a:rPr lang="en-US" sz="1400" b="1" baseline="0"/>
            <a:t> to Gen Info</a:t>
          </a:r>
          <a:endParaRPr lang="en-US" sz="1400" b="1"/>
        </a:p>
      </xdr:txBody>
    </xdr:sp>
    <xdr:clientData fPrintsWithSheet="0"/>
  </xdr:twoCellAnchor>
  <xdr:twoCellAnchor editAs="oneCell">
    <xdr:from>
      <xdr:col>13</xdr:col>
      <xdr:colOff>373895</xdr:colOff>
      <xdr:row>0</xdr:row>
      <xdr:rowOff>147637</xdr:rowOff>
    </xdr:from>
    <xdr:to>
      <xdr:col>16</xdr:col>
      <xdr:colOff>426281</xdr:colOff>
      <xdr:row>4</xdr:row>
      <xdr:rowOff>30888</xdr:rowOff>
    </xdr:to>
    <xdr:sp macro="[0]!PrintBS_Final" textlink="">
      <xdr:nvSpPr>
        <xdr:cNvPr id="95" name="Rectangle 94">
          <a:hlinkClick xmlns:r="http://schemas.openxmlformats.org/officeDocument/2006/relationships" r:id="rId84" tooltip="Go to Online Help Video"/>
          <a:extLst>
            <a:ext uri="{FF2B5EF4-FFF2-40B4-BE49-F238E27FC236}">
              <a16:creationId xmlns:a16="http://schemas.microsoft.com/office/drawing/2014/main" id="{00000000-0008-0000-0B00-00005F000000}"/>
            </a:ext>
          </a:extLst>
        </xdr:cNvPr>
        <xdr:cNvSpPr/>
      </xdr:nvSpPr>
      <xdr:spPr>
        <a:xfrm>
          <a:off x="11887631" y="147637"/>
          <a:ext cx="2451430" cy="542255"/>
        </a:xfrm>
        <a:prstGeom prst="rect">
          <a:avLst/>
        </a:prstGeom>
        <a:solidFill>
          <a:srgbClr val="F37321"/>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View the</a:t>
          </a:r>
          <a:r>
            <a:rPr lang="en-US" sz="1400" b="1" baseline="0"/>
            <a:t> Cash Flow Plan</a:t>
          </a:r>
        </a:p>
        <a:p>
          <a:pPr algn="ctr"/>
          <a:r>
            <a:rPr lang="en-US" sz="1400" b="1" baseline="0"/>
            <a:t>help video (opens browser)</a:t>
          </a:r>
          <a:endParaRPr lang="en-US" sz="1400" b="1"/>
        </a:p>
      </xdr:txBody>
    </xdr:sp>
    <xdr:clientData fPrintsWithSheet="0"/>
  </xdr:twoCellAnchor>
  <xdr:twoCellAnchor editAs="oneCell">
    <xdr:from>
      <xdr:col>2</xdr:col>
      <xdr:colOff>0</xdr:colOff>
      <xdr:row>137</xdr:row>
      <xdr:rowOff>0</xdr:rowOff>
    </xdr:from>
    <xdr:to>
      <xdr:col>2</xdr:col>
      <xdr:colOff>136221</xdr:colOff>
      <xdr:row>137</xdr:row>
      <xdr:rowOff>136221</xdr:rowOff>
    </xdr:to>
    <xdr:pic>
      <xdr:nvPicPr>
        <xdr:cNvPr id="98" name="Picture 97">
          <a:hlinkClick xmlns:r="http://schemas.openxmlformats.org/officeDocument/2006/relationships" r:id="rId85" tooltip="Go back to annual summary"/>
          <a:extLst>
            <a:ext uri="{FF2B5EF4-FFF2-40B4-BE49-F238E27FC236}">
              <a16:creationId xmlns:a16="http://schemas.microsoft.com/office/drawing/2014/main" id="{00000000-0008-0000-0B00-00006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19630159"/>
          <a:ext cx="136221" cy="136221"/>
        </a:xfrm>
        <a:prstGeom prst="rect">
          <a:avLst/>
        </a:prstGeom>
      </xdr:spPr>
    </xdr:pic>
    <xdr:clientData fPrintsWithSheet="0"/>
  </xdr:twoCellAnchor>
  <xdr:twoCellAnchor editAs="oneCell">
    <xdr:from>
      <xdr:col>2</xdr:col>
      <xdr:colOff>0</xdr:colOff>
      <xdr:row>180</xdr:row>
      <xdr:rowOff>0</xdr:rowOff>
    </xdr:from>
    <xdr:to>
      <xdr:col>2</xdr:col>
      <xdr:colOff>136221</xdr:colOff>
      <xdr:row>180</xdr:row>
      <xdr:rowOff>136221</xdr:rowOff>
    </xdr:to>
    <xdr:pic>
      <xdr:nvPicPr>
        <xdr:cNvPr id="99" name="Picture 98">
          <a:hlinkClick xmlns:r="http://schemas.openxmlformats.org/officeDocument/2006/relationships" r:id="rId86" tooltip="Go back to annual summary"/>
          <a:extLst>
            <a:ext uri="{FF2B5EF4-FFF2-40B4-BE49-F238E27FC236}">
              <a16:creationId xmlns:a16="http://schemas.microsoft.com/office/drawing/2014/main" id="{00000000-0008-0000-0B00-00006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7994841"/>
          <a:ext cx="136221" cy="136221"/>
        </a:xfrm>
        <a:prstGeom prst="rect">
          <a:avLst/>
        </a:prstGeom>
      </xdr:spPr>
    </xdr:pic>
    <xdr:clientData fPrintsWithSheet="0"/>
  </xdr:twoCellAnchor>
  <xdr:twoCellAnchor editAs="oneCell">
    <xdr:from>
      <xdr:col>2</xdr:col>
      <xdr:colOff>0</xdr:colOff>
      <xdr:row>181</xdr:row>
      <xdr:rowOff>0</xdr:rowOff>
    </xdr:from>
    <xdr:to>
      <xdr:col>2</xdr:col>
      <xdr:colOff>136221</xdr:colOff>
      <xdr:row>181</xdr:row>
      <xdr:rowOff>136221</xdr:rowOff>
    </xdr:to>
    <xdr:pic>
      <xdr:nvPicPr>
        <xdr:cNvPr id="100" name="Picture 99">
          <a:hlinkClick xmlns:r="http://schemas.openxmlformats.org/officeDocument/2006/relationships" r:id="rId87" tooltip="Go back to annual summary"/>
          <a:extLst>
            <a:ext uri="{FF2B5EF4-FFF2-40B4-BE49-F238E27FC236}">
              <a16:creationId xmlns:a16="http://schemas.microsoft.com/office/drawing/2014/main" id="{00000000-0008-0000-0B00-00006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8159364"/>
          <a:ext cx="136221" cy="136221"/>
        </a:xfrm>
        <a:prstGeom prst="rect">
          <a:avLst/>
        </a:prstGeom>
      </xdr:spPr>
    </xdr:pic>
    <xdr:clientData fPrintsWithSheet="0"/>
  </xdr:twoCellAnchor>
  <xdr:twoCellAnchor editAs="oneCell">
    <xdr:from>
      <xdr:col>2</xdr:col>
      <xdr:colOff>0</xdr:colOff>
      <xdr:row>153</xdr:row>
      <xdr:rowOff>0</xdr:rowOff>
    </xdr:from>
    <xdr:to>
      <xdr:col>2</xdr:col>
      <xdr:colOff>136221</xdr:colOff>
      <xdr:row>153</xdr:row>
      <xdr:rowOff>136221</xdr:rowOff>
    </xdr:to>
    <xdr:pic>
      <xdr:nvPicPr>
        <xdr:cNvPr id="101" name="Picture 100">
          <a:hlinkClick xmlns:r="http://schemas.openxmlformats.org/officeDocument/2006/relationships" r:id="rId88" tooltip="Go back to annual summary"/>
          <a:extLst>
            <a:ext uri="{FF2B5EF4-FFF2-40B4-BE49-F238E27FC236}">
              <a16:creationId xmlns:a16="http://schemas.microsoft.com/office/drawing/2014/main" id="{00000000-0008-0000-0B00-00006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3864455"/>
          <a:ext cx="136221" cy="136221"/>
        </a:xfrm>
        <a:prstGeom prst="rect">
          <a:avLst/>
        </a:prstGeom>
      </xdr:spPr>
    </xdr:pic>
    <xdr:clientData fPrintsWithSheet="0"/>
  </xdr:twoCellAnchor>
  <xdr:twoCellAnchor editAs="oneCell">
    <xdr:from>
      <xdr:col>2</xdr:col>
      <xdr:colOff>0</xdr:colOff>
      <xdr:row>154</xdr:row>
      <xdr:rowOff>0</xdr:rowOff>
    </xdr:from>
    <xdr:to>
      <xdr:col>2</xdr:col>
      <xdr:colOff>136221</xdr:colOff>
      <xdr:row>154</xdr:row>
      <xdr:rowOff>136221</xdr:rowOff>
    </xdr:to>
    <xdr:pic>
      <xdr:nvPicPr>
        <xdr:cNvPr id="103" name="Picture 102">
          <a:hlinkClick xmlns:r="http://schemas.openxmlformats.org/officeDocument/2006/relationships" r:id="rId89" tooltip="Go back to annual summary"/>
          <a:extLst>
            <a:ext uri="{FF2B5EF4-FFF2-40B4-BE49-F238E27FC236}">
              <a16:creationId xmlns:a16="http://schemas.microsoft.com/office/drawing/2014/main" id="{00000000-0008-0000-0B00-00006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4028977"/>
          <a:ext cx="136221" cy="136221"/>
        </a:xfrm>
        <a:prstGeom prst="rect">
          <a:avLst/>
        </a:prstGeom>
      </xdr:spPr>
    </xdr:pic>
    <xdr:clientData fPrintsWithSheet="0"/>
  </xdr:twoCellAnchor>
  <xdr:twoCellAnchor editAs="oneCell">
    <xdr:from>
      <xdr:col>2</xdr:col>
      <xdr:colOff>0</xdr:colOff>
      <xdr:row>213</xdr:row>
      <xdr:rowOff>0</xdr:rowOff>
    </xdr:from>
    <xdr:to>
      <xdr:col>2</xdr:col>
      <xdr:colOff>136221</xdr:colOff>
      <xdr:row>213</xdr:row>
      <xdr:rowOff>136221</xdr:rowOff>
    </xdr:to>
    <xdr:pic>
      <xdr:nvPicPr>
        <xdr:cNvPr id="104" name="Picture 103">
          <a:hlinkClick xmlns:r="http://schemas.openxmlformats.org/officeDocument/2006/relationships" r:id="rId90" tooltip="Go back to annual summary"/>
          <a:extLst>
            <a:ext uri="{FF2B5EF4-FFF2-40B4-BE49-F238E27FC236}">
              <a16:creationId xmlns:a16="http://schemas.microsoft.com/office/drawing/2014/main" id="{00000000-0008-0000-0B00-00006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1275386"/>
          <a:ext cx="136221" cy="136221"/>
        </a:xfrm>
        <a:prstGeom prst="rect">
          <a:avLst/>
        </a:prstGeom>
      </xdr:spPr>
    </xdr:pic>
    <xdr:clientData fPrintsWithSheet="0"/>
  </xdr:twoCellAnchor>
  <xdr:twoCellAnchor editAs="oneCell">
    <xdr:from>
      <xdr:col>2</xdr:col>
      <xdr:colOff>0</xdr:colOff>
      <xdr:row>212</xdr:row>
      <xdr:rowOff>0</xdr:rowOff>
    </xdr:from>
    <xdr:to>
      <xdr:col>2</xdr:col>
      <xdr:colOff>136221</xdr:colOff>
      <xdr:row>212</xdr:row>
      <xdr:rowOff>136221</xdr:rowOff>
    </xdr:to>
    <xdr:pic>
      <xdr:nvPicPr>
        <xdr:cNvPr id="105" name="Picture 104">
          <a:hlinkClick xmlns:r="http://schemas.openxmlformats.org/officeDocument/2006/relationships" r:id="rId91" tooltip="Go back to annual summary"/>
          <a:extLst>
            <a:ext uri="{FF2B5EF4-FFF2-40B4-BE49-F238E27FC236}">
              <a16:creationId xmlns:a16="http://schemas.microsoft.com/office/drawing/2014/main" id="{00000000-0008-0000-0B00-00006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276600" y="7534275"/>
          <a:ext cx="136221" cy="136221"/>
        </a:xfrm>
        <a:prstGeom prst="rect">
          <a:avLst/>
        </a:prstGeom>
      </xdr:spPr>
    </xdr:pic>
    <xdr:clientData fPrintsWithSheet="0"/>
  </xdr:twoCellAnchor>
  <xdr:twoCellAnchor editAs="oneCell">
    <xdr:from>
      <xdr:col>1</xdr:col>
      <xdr:colOff>2037280</xdr:colOff>
      <xdr:row>83</xdr:row>
      <xdr:rowOff>0</xdr:rowOff>
    </xdr:from>
    <xdr:to>
      <xdr:col>1</xdr:col>
      <xdr:colOff>2176821</xdr:colOff>
      <xdr:row>83</xdr:row>
      <xdr:rowOff>137160</xdr:rowOff>
    </xdr:to>
    <xdr:pic>
      <xdr:nvPicPr>
        <xdr:cNvPr id="106" name="Picture 105">
          <a:hlinkClick xmlns:r="http://schemas.openxmlformats.org/officeDocument/2006/relationships" r:id="rId92" tooltip="Go back to proposed loan entry"/>
          <a:extLst>
            <a:ext uri="{FF2B5EF4-FFF2-40B4-BE49-F238E27FC236}">
              <a16:creationId xmlns:a16="http://schemas.microsoft.com/office/drawing/2014/main" id="{00000000-0008-0000-0B00-00006A000000}"/>
            </a:ext>
          </a:extLst>
        </xdr:cNvPr>
        <xdr:cNvPicPr>
          <a:picLocks noChangeAspect="1"/>
        </xdr:cNvPicPr>
      </xdr:nvPicPr>
      <xdr:blipFill>
        <a:blip xmlns:r="http://schemas.openxmlformats.org/officeDocument/2006/relationships" r:embed="rId93" cstate="print">
          <a:extLst>
            <a:ext uri="{28A0092B-C50C-407E-A947-70E740481C1C}">
              <a14:useLocalDpi xmlns:a14="http://schemas.microsoft.com/office/drawing/2010/main" val="0"/>
            </a:ext>
          </a:extLst>
        </a:blip>
        <a:stretch>
          <a:fillRect/>
        </a:stretch>
      </xdr:blipFill>
      <xdr:spPr>
        <a:xfrm>
          <a:off x="2037280" y="11391900"/>
          <a:ext cx="139541" cy="137160"/>
        </a:xfrm>
        <a:prstGeom prst="rect">
          <a:avLst/>
        </a:prstGeom>
      </xdr:spPr>
    </xdr:pic>
    <xdr:clientData fPrintsWithSheet="0"/>
  </xdr:twoCellAnchor>
  <xdr:twoCellAnchor editAs="oneCell">
    <xdr:from>
      <xdr:col>1</xdr:col>
      <xdr:colOff>1081607</xdr:colOff>
      <xdr:row>138</xdr:row>
      <xdr:rowOff>0</xdr:rowOff>
    </xdr:from>
    <xdr:to>
      <xdr:col>1</xdr:col>
      <xdr:colOff>1221148</xdr:colOff>
      <xdr:row>138</xdr:row>
      <xdr:rowOff>137160</xdr:rowOff>
    </xdr:to>
    <xdr:pic>
      <xdr:nvPicPr>
        <xdr:cNvPr id="108" name="Picture 107">
          <a:hlinkClick xmlns:r="http://schemas.openxmlformats.org/officeDocument/2006/relationships" r:id="rId92" tooltip="Go back to proposed loan entry"/>
          <a:extLst>
            <a:ext uri="{FF2B5EF4-FFF2-40B4-BE49-F238E27FC236}">
              <a16:creationId xmlns:a16="http://schemas.microsoft.com/office/drawing/2014/main" id="{00000000-0008-0000-0B00-00006C000000}"/>
            </a:ext>
          </a:extLst>
        </xdr:cNvPr>
        <xdr:cNvPicPr>
          <a:picLocks noChangeAspect="1"/>
        </xdr:cNvPicPr>
      </xdr:nvPicPr>
      <xdr:blipFill>
        <a:blip xmlns:r="http://schemas.openxmlformats.org/officeDocument/2006/relationships" r:embed="rId93" cstate="print">
          <a:extLst>
            <a:ext uri="{28A0092B-C50C-407E-A947-70E740481C1C}">
              <a14:useLocalDpi xmlns:a14="http://schemas.microsoft.com/office/drawing/2010/main" val="0"/>
            </a:ext>
          </a:extLst>
        </a:blip>
        <a:stretch>
          <a:fillRect/>
        </a:stretch>
      </xdr:blipFill>
      <xdr:spPr>
        <a:xfrm>
          <a:off x="1081607" y="21021675"/>
          <a:ext cx="139541" cy="137160"/>
        </a:xfrm>
        <a:prstGeom prst="rect">
          <a:avLst/>
        </a:prstGeom>
      </xdr:spPr>
    </xdr:pic>
    <xdr:clientData fPrintsWithSheet="0"/>
  </xdr:twoCellAnchor>
  <xdr:twoCellAnchor editAs="oneCell">
    <xdr:from>
      <xdr:col>1</xdr:col>
      <xdr:colOff>1209666</xdr:colOff>
      <xdr:row>154</xdr:row>
      <xdr:rowOff>0</xdr:rowOff>
    </xdr:from>
    <xdr:to>
      <xdr:col>1</xdr:col>
      <xdr:colOff>1349207</xdr:colOff>
      <xdr:row>154</xdr:row>
      <xdr:rowOff>137160</xdr:rowOff>
    </xdr:to>
    <xdr:pic>
      <xdr:nvPicPr>
        <xdr:cNvPr id="109" name="Picture 108">
          <a:hlinkClick xmlns:r="http://schemas.openxmlformats.org/officeDocument/2006/relationships" r:id="rId92" tooltip="Go back to proposed loan entry"/>
          <a:extLst>
            <a:ext uri="{FF2B5EF4-FFF2-40B4-BE49-F238E27FC236}">
              <a16:creationId xmlns:a16="http://schemas.microsoft.com/office/drawing/2014/main" id="{00000000-0008-0000-0B00-00006D000000}"/>
            </a:ext>
          </a:extLst>
        </xdr:cNvPr>
        <xdr:cNvPicPr>
          <a:picLocks noChangeAspect="1"/>
        </xdr:cNvPicPr>
      </xdr:nvPicPr>
      <xdr:blipFill>
        <a:blip xmlns:r="http://schemas.openxmlformats.org/officeDocument/2006/relationships" r:embed="rId93" cstate="print">
          <a:extLst>
            <a:ext uri="{28A0092B-C50C-407E-A947-70E740481C1C}">
              <a14:useLocalDpi xmlns:a14="http://schemas.microsoft.com/office/drawing/2010/main" val="0"/>
            </a:ext>
          </a:extLst>
        </a:blip>
        <a:stretch>
          <a:fillRect/>
        </a:stretch>
      </xdr:blipFill>
      <xdr:spPr>
        <a:xfrm>
          <a:off x="1209666" y="24183975"/>
          <a:ext cx="139541" cy="137160"/>
        </a:xfrm>
        <a:prstGeom prst="rect">
          <a:avLst/>
        </a:prstGeom>
      </xdr:spPr>
    </xdr:pic>
    <xdr:clientData fPrintsWithSheet="0"/>
  </xdr:twoCellAnchor>
  <xdr:twoCellAnchor editAs="oneCell">
    <xdr:from>
      <xdr:col>1</xdr:col>
      <xdr:colOff>346076</xdr:colOff>
      <xdr:row>153</xdr:row>
      <xdr:rowOff>0</xdr:rowOff>
    </xdr:from>
    <xdr:to>
      <xdr:col>1</xdr:col>
      <xdr:colOff>485617</xdr:colOff>
      <xdr:row>153</xdr:row>
      <xdr:rowOff>137160</xdr:rowOff>
    </xdr:to>
    <xdr:pic>
      <xdr:nvPicPr>
        <xdr:cNvPr id="110" name="Picture 109">
          <a:hlinkClick xmlns:r="http://schemas.openxmlformats.org/officeDocument/2006/relationships" r:id="rId92" tooltip="Go back to proposed loan entry"/>
          <a:extLst>
            <a:ext uri="{FF2B5EF4-FFF2-40B4-BE49-F238E27FC236}">
              <a16:creationId xmlns:a16="http://schemas.microsoft.com/office/drawing/2014/main" id="{00000000-0008-0000-0B00-00006E000000}"/>
            </a:ext>
          </a:extLst>
        </xdr:cNvPr>
        <xdr:cNvPicPr>
          <a:picLocks noChangeAspect="1"/>
        </xdr:cNvPicPr>
      </xdr:nvPicPr>
      <xdr:blipFill>
        <a:blip xmlns:r="http://schemas.openxmlformats.org/officeDocument/2006/relationships" r:embed="rId93" cstate="print">
          <a:extLst>
            <a:ext uri="{28A0092B-C50C-407E-A947-70E740481C1C}">
              <a14:useLocalDpi xmlns:a14="http://schemas.microsoft.com/office/drawing/2010/main" val="0"/>
            </a:ext>
          </a:extLst>
        </a:blip>
        <a:stretch>
          <a:fillRect/>
        </a:stretch>
      </xdr:blipFill>
      <xdr:spPr>
        <a:xfrm>
          <a:off x="346076" y="24022050"/>
          <a:ext cx="139541" cy="137160"/>
        </a:xfrm>
        <a:prstGeom prst="rect">
          <a:avLst/>
        </a:prstGeom>
      </xdr:spPr>
    </xdr:pic>
    <xdr:clientData fPrintsWithSheet="0"/>
  </xdr:twoCellAnchor>
  <xdr:oneCellAnchor>
    <xdr:from>
      <xdr:col>2</xdr:col>
      <xdr:colOff>0</xdr:colOff>
      <xdr:row>12</xdr:row>
      <xdr:rowOff>0</xdr:rowOff>
    </xdr:from>
    <xdr:ext cx="137160" cy="137160"/>
    <xdr:pic>
      <xdr:nvPicPr>
        <xdr:cNvPr id="113" name="Picture 112">
          <a:hlinkClick xmlns:r="http://schemas.openxmlformats.org/officeDocument/2006/relationships" r:id="rId94" tooltip="Go back to annual summary"/>
          <a:extLst>
            <a:ext uri="{FF2B5EF4-FFF2-40B4-BE49-F238E27FC236}">
              <a16:creationId xmlns:a16="http://schemas.microsoft.com/office/drawing/2014/main" id="{00000000-0008-0000-0B00-00007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2980" y="1768039"/>
          <a:ext cx="137160" cy="137160"/>
        </a:xfrm>
        <a:prstGeom prst="rect">
          <a:avLst/>
        </a:prstGeom>
      </xdr:spPr>
    </xdr:pic>
    <xdr:clientData fPrintsWithSheet="0"/>
  </xdr:oneCellAnchor>
  <xdr:oneCellAnchor>
    <xdr:from>
      <xdr:col>2</xdr:col>
      <xdr:colOff>0</xdr:colOff>
      <xdr:row>54</xdr:row>
      <xdr:rowOff>469</xdr:rowOff>
    </xdr:from>
    <xdr:ext cx="136221" cy="136221"/>
    <xdr:pic>
      <xdr:nvPicPr>
        <xdr:cNvPr id="114" name="Picture 113">
          <a:hlinkClick xmlns:r="http://schemas.openxmlformats.org/officeDocument/2006/relationships" r:id="rId95" tooltip="Go back to annual summary"/>
          <a:extLst>
            <a:ext uri="{FF2B5EF4-FFF2-40B4-BE49-F238E27FC236}">
              <a16:creationId xmlns:a16="http://schemas.microsoft.com/office/drawing/2014/main" id="{00000000-0008-0000-0B00-00007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2980" y="5996861"/>
          <a:ext cx="136221" cy="136221"/>
        </a:xfrm>
        <a:prstGeom prst="rect">
          <a:avLst/>
        </a:prstGeom>
      </xdr:spPr>
    </xdr:pic>
    <xdr:clientData fPrintsWithSheet="0"/>
  </xdr:oneCellAnchor>
  <xdr:twoCellAnchor editAs="oneCell">
    <xdr:from>
      <xdr:col>2</xdr:col>
      <xdr:colOff>0</xdr:colOff>
      <xdr:row>100</xdr:row>
      <xdr:rowOff>0</xdr:rowOff>
    </xdr:from>
    <xdr:to>
      <xdr:col>2</xdr:col>
      <xdr:colOff>136221</xdr:colOff>
      <xdr:row>100</xdr:row>
      <xdr:rowOff>136221</xdr:rowOff>
    </xdr:to>
    <xdr:pic>
      <xdr:nvPicPr>
        <xdr:cNvPr id="115" name="Picture 114">
          <a:hlinkClick xmlns:r="http://schemas.openxmlformats.org/officeDocument/2006/relationships" r:id="rId96" tooltip="Go back to annual summary"/>
          <a:extLst>
            <a:ext uri="{FF2B5EF4-FFF2-40B4-BE49-F238E27FC236}">
              <a16:creationId xmlns:a16="http://schemas.microsoft.com/office/drawing/2014/main" id="{00000000-0008-0000-0B00-00007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15854795"/>
          <a:ext cx="136221" cy="136221"/>
        </a:xfrm>
        <a:prstGeom prst="rect">
          <a:avLst/>
        </a:prstGeom>
      </xdr:spPr>
    </xdr:pic>
    <xdr:clientData fPrintsWithSheet="0"/>
  </xdr:twoCellAnchor>
  <xdr:twoCellAnchor editAs="oneCell">
    <xdr:from>
      <xdr:col>2</xdr:col>
      <xdr:colOff>0</xdr:colOff>
      <xdr:row>97</xdr:row>
      <xdr:rowOff>0</xdr:rowOff>
    </xdr:from>
    <xdr:to>
      <xdr:col>2</xdr:col>
      <xdr:colOff>136221</xdr:colOff>
      <xdr:row>97</xdr:row>
      <xdr:rowOff>136221</xdr:rowOff>
    </xdr:to>
    <xdr:pic>
      <xdr:nvPicPr>
        <xdr:cNvPr id="116" name="Picture 115">
          <a:hlinkClick xmlns:r="http://schemas.openxmlformats.org/officeDocument/2006/relationships" r:id="rId97" tooltip="Go back to annual summary"/>
          <a:extLst>
            <a:ext uri="{FF2B5EF4-FFF2-40B4-BE49-F238E27FC236}">
              <a16:creationId xmlns:a16="http://schemas.microsoft.com/office/drawing/2014/main" id="{00000000-0008-0000-0B00-00007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15361227"/>
          <a:ext cx="136221" cy="136221"/>
        </a:xfrm>
        <a:prstGeom prst="rect">
          <a:avLst/>
        </a:prstGeom>
      </xdr:spPr>
    </xdr:pic>
    <xdr:clientData fPrintsWithSheet="0"/>
  </xdr:twoCellAnchor>
  <xdr:twoCellAnchor editAs="oneCell">
    <xdr:from>
      <xdr:col>2</xdr:col>
      <xdr:colOff>0</xdr:colOff>
      <xdr:row>98</xdr:row>
      <xdr:rowOff>0</xdr:rowOff>
    </xdr:from>
    <xdr:to>
      <xdr:col>2</xdr:col>
      <xdr:colOff>136221</xdr:colOff>
      <xdr:row>98</xdr:row>
      <xdr:rowOff>136221</xdr:rowOff>
    </xdr:to>
    <xdr:pic>
      <xdr:nvPicPr>
        <xdr:cNvPr id="117" name="Picture 116">
          <a:hlinkClick xmlns:r="http://schemas.openxmlformats.org/officeDocument/2006/relationships" r:id="rId98" tooltip="Go back to annual summary"/>
          <a:extLst>
            <a:ext uri="{FF2B5EF4-FFF2-40B4-BE49-F238E27FC236}">
              <a16:creationId xmlns:a16="http://schemas.microsoft.com/office/drawing/2014/main" id="{00000000-0008-0000-0B00-00007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15525750"/>
          <a:ext cx="136221" cy="136221"/>
        </a:xfrm>
        <a:prstGeom prst="rect">
          <a:avLst/>
        </a:prstGeom>
      </xdr:spPr>
    </xdr:pic>
    <xdr:clientData fPrintsWithSheet="0"/>
  </xdr:twoCellAnchor>
  <xdr:twoCellAnchor editAs="oneCell">
    <xdr:from>
      <xdr:col>2</xdr:col>
      <xdr:colOff>0</xdr:colOff>
      <xdr:row>99</xdr:row>
      <xdr:rowOff>0</xdr:rowOff>
    </xdr:from>
    <xdr:to>
      <xdr:col>2</xdr:col>
      <xdr:colOff>136221</xdr:colOff>
      <xdr:row>99</xdr:row>
      <xdr:rowOff>136221</xdr:rowOff>
    </xdr:to>
    <xdr:pic>
      <xdr:nvPicPr>
        <xdr:cNvPr id="118" name="Picture 117">
          <a:hlinkClick xmlns:r="http://schemas.openxmlformats.org/officeDocument/2006/relationships" r:id="rId99" tooltip="Go back to annual summary"/>
          <a:extLst>
            <a:ext uri="{FF2B5EF4-FFF2-40B4-BE49-F238E27FC236}">
              <a16:creationId xmlns:a16="http://schemas.microsoft.com/office/drawing/2014/main" id="{00000000-0008-0000-0B00-00007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15690273"/>
          <a:ext cx="136221" cy="136221"/>
        </a:xfrm>
        <a:prstGeom prst="rect">
          <a:avLst/>
        </a:prstGeom>
      </xdr:spPr>
    </xdr:pic>
    <xdr:clientData fPrintsWithSheet="0"/>
  </xdr:twoCellAnchor>
  <xdr:twoCellAnchor editAs="oneCell">
    <xdr:from>
      <xdr:col>2</xdr:col>
      <xdr:colOff>0</xdr:colOff>
      <xdr:row>248</xdr:row>
      <xdr:rowOff>0</xdr:rowOff>
    </xdr:from>
    <xdr:to>
      <xdr:col>2</xdr:col>
      <xdr:colOff>136221</xdr:colOff>
      <xdr:row>248</xdr:row>
      <xdr:rowOff>136221</xdr:rowOff>
    </xdr:to>
    <xdr:pic>
      <xdr:nvPicPr>
        <xdr:cNvPr id="119" name="Picture 118">
          <a:hlinkClick xmlns:r="http://schemas.openxmlformats.org/officeDocument/2006/relationships" r:id="rId52" tooltip="Go back to annual summary"/>
          <a:extLst>
            <a:ext uri="{FF2B5EF4-FFF2-40B4-BE49-F238E27FC236}">
              <a16:creationId xmlns:a16="http://schemas.microsoft.com/office/drawing/2014/main" id="{00000000-0008-0000-0B00-00007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2305818"/>
          <a:ext cx="136221" cy="136221"/>
        </a:xfrm>
        <a:prstGeom prst="rect">
          <a:avLst/>
        </a:prstGeom>
      </xdr:spPr>
    </xdr:pic>
    <xdr:clientData fPrintsWithSheet="0"/>
  </xdr:twoCellAnchor>
  <xdr:twoCellAnchor editAs="oneCell">
    <xdr:from>
      <xdr:col>2</xdr:col>
      <xdr:colOff>0</xdr:colOff>
      <xdr:row>13</xdr:row>
      <xdr:rowOff>0</xdr:rowOff>
    </xdr:from>
    <xdr:to>
      <xdr:col>2</xdr:col>
      <xdr:colOff>137160</xdr:colOff>
      <xdr:row>13</xdr:row>
      <xdr:rowOff>137160</xdr:rowOff>
    </xdr:to>
    <xdr:pic>
      <xdr:nvPicPr>
        <xdr:cNvPr id="121" name="Picture 120">
          <a:hlinkClick xmlns:r="http://schemas.openxmlformats.org/officeDocument/2006/relationships" r:id="rId100" tooltip="Go back to annual summary"/>
          <a:extLst>
            <a:ext uri="{FF2B5EF4-FFF2-40B4-BE49-F238E27FC236}">
              <a16:creationId xmlns:a16="http://schemas.microsoft.com/office/drawing/2014/main" id="{00000000-0008-0000-0B00-00007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2105025"/>
          <a:ext cx="137160" cy="137160"/>
        </a:xfrm>
        <a:prstGeom prst="rect">
          <a:avLst/>
        </a:prstGeom>
      </xdr:spPr>
    </xdr:pic>
    <xdr:clientData fPrintsWithSheet="0"/>
  </xdr:twoCellAnchor>
  <xdr:twoCellAnchor editAs="oneCell">
    <xdr:from>
      <xdr:col>2</xdr:col>
      <xdr:colOff>0</xdr:colOff>
      <xdr:row>14</xdr:row>
      <xdr:rowOff>0</xdr:rowOff>
    </xdr:from>
    <xdr:to>
      <xdr:col>2</xdr:col>
      <xdr:colOff>137160</xdr:colOff>
      <xdr:row>14</xdr:row>
      <xdr:rowOff>137160</xdr:rowOff>
    </xdr:to>
    <xdr:pic>
      <xdr:nvPicPr>
        <xdr:cNvPr id="122" name="Picture 121">
          <a:hlinkClick xmlns:r="http://schemas.openxmlformats.org/officeDocument/2006/relationships" r:id="rId101" tooltip="Go back to annual summary"/>
          <a:extLst>
            <a:ext uri="{FF2B5EF4-FFF2-40B4-BE49-F238E27FC236}">
              <a16:creationId xmlns:a16="http://schemas.microsoft.com/office/drawing/2014/main" id="{00000000-0008-0000-0B00-00007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2266950"/>
          <a:ext cx="137160" cy="137160"/>
        </a:xfrm>
        <a:prstGeom prst="rect">
          <a:avLst/>
        </a:prstGeom>
      </xdr:spPr>
    </xdr:pic>
    <xdr:clientData fPrintsWithSheet="0"/>
  </xdr:twoCellAnchor>
  <xdr:twoCellAnchor editAs="oneCell">
    <xdr:from>
      <xdr:col>2</xdr:col>
      <xdr:colOff>0</xdr:colOff>
      <xdr:row>15</xdr:row>
      <xdr:rowOff>0</xdr:rowOff>
    </xdr:from>
    <xdr:to>
      <xdr:col>2</xdr:col>
      <xdr:colOff>137160</xdr:colOff>
      <xdr:row>15</xdr:row>
      <xdr:rowOff>137160</xdr:rowOff>
    </xdr:to>
    <xdr:pic>
      <xdr:nvPicPr>
        <xdr:cNvPr id="123" name="Picture 122">
          <a:hlinkClick xmlns:r="http://schemas.openxmlformats.org/officeDocument/2006/relationships" r:id="rId102" tooltip="Go back to annual summary"/>
          <a:extLst>
            <a:ext uri="{FF2B5EF4-FFF2-40B4-BE49-F238E27FC236}">
              <a16:creationId xmlns:a16="http://schemas.microsoft.com/office/drawing/2014/main" id="{00000000-0008-0000-0B00-00007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2428875"/>
          <a:ext cx="137160" cy="137160"/>
        </a:xfrm>
        <a:prstGeom prst="rect">
          <a:avLst/>
        </a:prstGeom>
      </xdr:spPr>
    </xdr:pic>
    <xdr:clientData fPrintsWithSheet="0"/>
  </xdr:twoCellAnchor>
  <xdr:twoCellAnchor editAs="oneCell">
    <xdr:from>
      <xdr:col>2</xdr:col>
      <xdr:colOff>0</xdr:colOff>
      <xdr:row>16</xdr:row>
      <xdr:rowOff>0</xdr:rowOff>
    </xdr:from>
    <xdr:to>
      <xdr:col>2</xdr:col>
      <xdr:colOff>137160</xdr:colOff>
      <xdr:row>16</xdr:row>
      <xdr:rowOff>137160</xdr:rowOff>
    </xdr:to>
    <xdr:pic>
      <xdr:nvPicPr>
        <xdr:cNvPr id="124" name="Picture 123">
          <a:hlinkClick xmlns:r="http://schemas.openxmlformats.org/officeDocument/2006/relationships" r:id="rId103" tooltip="Go back to annual summary"/>
          <a:extLst>
            <a:ext uri="{FF2B5EF4-FFF2-40B4-BE49-F238E27FC236}">
              <a16:creationId xmlns:a16="http://schemas.microsoft.com/office/drawing/2014/main" id="{00000000-0008-0000-0B00-00007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2590800"/>
          <a:ext cx="137160" cy="137160"/>
        </a:xfrm>
        <a:prstGeom prst="rect">
          <a:avLst/>
        </a:prstGeom>
      </xdr:spPr>
    </xdr:pic>
    <xdr:clientData fPrintsWithSheet="0"/>
  </xdr:twoCellAnchor>
  <xdr:twoCellAnchor editAs="oneCell">
    <xdr:from>
      <xdr:col>2</xdr:col>
      <xdr:colOff>0</xdr:colOff>
      <xdr:row>16</xdr:row>
      <xdr:rowOff>0</xdr:rowOff>
    </xdr:from>
    <xdr:to>
      <xdr:col>2</xdr:col>
      <xdr:colOff>137160</xdr:colOff>
      <xdr:row>16</xdr:row>
      <xdr:rowOff>137160</xdr:rowOff>
    </xdr:to>
    <xdr:pic>
      <xdr:nvPicPr>
        <xdr:cNvPr id="125" name="Picture 124">
          <a:hlinkClick xmlns:r="http://schemas.openxmlformats.org/officeDocument/2006/relationships" r:id="rId104" tooltip="Go back to annual summary"/>
          <a:extLst>
            <a:ext uri="{FF2B5EF4-FFF2-40B4-BE49-F238E27FC236}">
              <a16:creationId xmlns:a16="http://schemas.microsoft.com/office/drawing/2014/main" id="{00000000-0008-0000-0B00-00007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2752725"/>
          <a:ext cx="137160" cy="137160"/>
        </a:xfrm>
        <a:prstGeom prst="rect">
          <a:avLst/>
        </a:prstGeom>
      </xdr:spPr>
    </xdr:pic>
    <xdr:clientData fPrintsWithSheet="0"/>
  </xdr:twoCellAnchor>
  <xdr:twoCellAnchor editAs="oneCell">
    <xdr:from>
      <xdr:col>2</xdr:col>
      <xdr:colOff>0</xdr:colOff>
      <xdr:row>69</xdr:row>
      <xdr:rowOff>0</xdr:rowOff>
    </xdr:from>
    <xdr:to>
      <xdr:col>2</xdr:col>
      <xdr:colOff>137160</xdr:colOff>
      <xdr:row>69</xdr:row>
      <xdr:rowOff>137160</xdr:rowOff>
    </xdr:to>
    <xdr:pic>
      <xdr:nvPicPr>
        <xdr:cNvPr id="126" name="Picture 125">
          <a:hlinkClick xmlns:r="http://schemas.openxmlformats.org/officeDocument/2006/relationships" r:id="rId105" tooltip="Go back to annual summary"/>
          <a:extLst>
            <a:ext uri="{FF2B5EF4-FFF2-40B4-BE49-F238E27FC236}">
              <a16:creationId xmlns:a16="http://schemas.microsoft.com/office/drawing/2014/main" id="{00000000-0008-0000-0B00-00007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135086" y="2862943"/>
          <a:ext cx="137160" cy="137160"/>
        </a:xfrm>
        <a:prstGeom prst="rect">
          <a:avLst/>
        </a:prstGeom>
      </xdr:spPr>
    </xdr:pic>
    <xdr:clientData fPrintsWithSheet="0"/>
  </xdr:twoCellAnchor>
  <xdr:twoCellAnchor editAs="oneCell">
    <xdr:from>
      <xdr:col>2</xdr:col>
      <xdr:colOff>0</xdr:colOff>
      <xdr:row>72</xdr:row>
      <xdr:rowOff>0</xdr:rowOff>
    </xdr:from>
    <xdr:to>
      <xdr:col>2</xdr:col>
      <xdr:colOff>136221</xdr:colOff>
      <xdr:row>72</xdr:row>
      <xdr:rowOff>136221</xdr:rowOff>
    </xdr:to>
    <xdr:pic>
      <xdr:nvPicPr>
        <xdr:cNvPr id="120" name="Picture 119">
          <a:hlinkClick xmlns:r="http://schemas.openxmlformats.org/officeDocument/2006/relationships" r:id="rId69" tooltip="Go back to annual summary"/>
          <a:extLst>
            <a:ext uri="{FF2B5EF4-FFF2-40B4-BE49-F238E27FC236}">
              <a16:creationId xmlns:a16="http://schemas.microsoft.com/office/drawing/2014/main" id="{00000000-0008-0000-0B00-00007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9153525"/>
          <a:ext cx="136221" cy="136221"/>
        </a:xfrm>
        <a:prstGeom prst="rect">
          <a:avLst/>
        </a:prstGeom>
      </xdr:spPr>
    </xdr:pic>
    <xdr:clientData fPrintsWithSheet="0"/>
  </xdr:twoCellAnchor>
  <xdr:twoCellAnchor editAs="oneCell">
    <xdr:from>
      <xdr:col>2</xdr:col>
      <xdr:colOff>0</xdr:colOff>
      <xdr:row>70</xdr:row>
      <xdr:rowOff>0</xdr:rowOff>
    </xdr:from>
    <xdr:to>
      <xdr:col>2</xdr:col>
      <xdr:colOff>136221</xdr:colOff>
      <xdr:row>70</xdr:row>
      <xdr:rowOff>136221</xdr:rowOff>
    </xdr:to>
    <xdr:pic>
      <xdr:nvPicPr>
        <xdr:cNvPr id="127" name="Picture 126">
          <a:hlinkClick xmlns:r="http://schemas.openxmlformats.org/officeDocument/2006/relationships" r:id="rId69" tooltip="Go back to annual summary"/>
          <a:extLst>
            <a:ext uri="{FF2B5EF4-FFF2-40B4-BE49-F238E27FC236}">
              <a16:creationId xmlns:a16="http://schemas.microsoft.com/office/drawing/2014/main" id="{00000000-0008-0000-0B00-00007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9315450"/>
          <a:ext cx="136221" cy="136221"/>
        </a:xfrm>
        <a:prstGeom prst="rect">
          <a:avLst/>
        </a:prstGeom>
      </xdr:spPr>
    </xdr:pic>
    <xdr:clientData fPrintsWithSheet="0"/>
  </xdr:twoCellAnchor>
  <xdr:twoCellAnchor editAs="oneCell">
    <xdr:from>
      <xdr:col>2</xdr:col>
      <xdr:colOff>0</xdr:colOff>
      <xdr:row>16</xdr:row>
      <xdr:rowOff>0</xdr:rowOff>
    </xdr:from>
    <xdr:to>
      <xdr:col>2</xdr:col>
      <xdr:colOff>137160</xdr:colOff>
      <xdr:row>16</xdr:row>
      <xdr:rowOff>137160</xdr:rowOff>
    </xdr:to>
    <xdr:pic>
      <xdr:nvPicPr>
        <xdr:cNvPr id="128" name="Picture 127">
          <a:hlinkClick xmlns:r="http://schemas.openxmlformats.org/officeDocument/2006/relationships" r:id="rId103" tooltip="Go back to annual summary"/>
          <a:extLst>
            <a:ext uri="{FF2B5EF4-FFF2-40B4-BE49-F238E27FC236}">
              <a16:creationId xmlns:a16="http://schemas.microsoft.com/office/drawing/2014/main" id="{00000000-0008-0000-0B00-00008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2752725"/>
          <a:ext cx="137160" cy="137160"/>
        </a:xfrm>
        <a:prstGeom prst="rect">
          <a:avLst/>
        </a:prstGeom>
      </xdr:spPr>
    </xdr:pic>
    <xdr:clientData fPrintsWithSheet="0"/>
  </xdr:twoCellAnchor>
  <xdr:twoCellAnchor editAs="oneCell">
    <xdr:from>
      <xdr:col>2</xdr:col>
      <xdr:colOff>0</xdr:colOff>
      <xdr:row>49</xdr:row>
      <xdr:rowOff>0</xdr:rowOff>
    </xdr:from>
    <xdr:to>
      <xdr:col>2</xdr:col>
      <xdr:colOff>135800</xdr:colOff>
      <xdr:row>49</xdr:row>
      <xdr:rowOff>135800</xdr:rowOff>
    </xdr:to>
    <xdr:pic>
      <xdr:nvPicPr>
        <xdr:cNvPr id="129" name="Picture 128">
          <a:hlinkClick xmlns:r="http://schemas.openxmlformats.org/officeDocument/2006/relationships" r:id="rId20" tooltip="Go back to annual summary"/>
          <a:extLst>
            <a:ext uri="{FF2B5EF4-FFF2-40B4-BE49-F238E27FC236}">
              <a16:creationId xmlns:a16="http://schemas.microsoft.com/office/drawing/2014/main" id="{00000000-0008-0000-0B00-00008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8286750"/>
          <a:ext cx="135800" cy="135800"/>
        </a:xfrm>
        <a:prstGeom prst="rect">
          <a:avLst/>
        </a:prstGeom>
      </xdr:spPr>
    </xdr:pic>
    <xdr:clientData fPrintsWithSheet="0"/>
  </xdr:twoCellAnchor>
  <xdr:twoCellAnchor editAs="oneCell">
    <xdr:from>
      <xdr:col>1</xdr:col>
      <xdr:colOff>1042451</xdr:colOff>
      <xdr:row>238</xdr:row>
      <xdr:rowOff>0</xdr:rowOff>
    </xdr:from>
    <xdr:to>
      <xdr:col>1</xdr:col>
      <xdr:colOff>1181992</xdr:colOff>
      <xdr:row>238</xdr:row>
      <xdr:rowOff>137160</xdr:rowOff>
    </xdr:to>
    <xdr:pic>
      <xdr:nvPicPr>
        <xdr:cNvPr id="130" name="Picture 129">
          <a:hlinkClick xmlns:r="http://schemas.openxmlformats.org/officeDocument/2006/relationships" r:id="rId106" tooltip="Go back to projected inventory"/>
          <a:extLst>
            <a:ext uri="{FF2B5EF4-FFF2-40B4-BE49-F238E27FC236}">
              <a16:creationId xmlns:a16="http://schemas.microsoft.com/office/drawing/2014/main" id="{00000000-0008-0000-0B00-000082000000}"/>
            </a:ext>
          </a:extLst>
        </xdr:cNvPr>
        <xdr:cNvPicPr>
          <a:picLocks noChangeAspect="1"/>
        </xdr:cNvPicPr>
      </xdr:nvPicPr>
      <xdr:blipFill>
        <a:blip xmlns:r="http://schemas.openxmlformats.org/officeDocument/2006/relationships" r:embed="rId93" cstate="print">
          <a:extLst>
            <a:ext uri="{28A0092B-C50C-407E-A947-70E740481C1C}">
              <a14:useLocalDpi xmlns:a14="http://schemas.microsoft.com/office/drawing/2010/main" val="0"/>
            </a:ext>
          </a:extLst>
        </a:blip>
        <a:stretch>
          <a:fillRect/>
        </a:stretch>
      </xdr:blipFill>
      <xdr:spPr>
        <a:xfrm>
          <a:off x="1042451" y="14030325"/>
          <a:ext cx="139541" cy="137160"/>
        </a:xfrm>
        <a:prstGeom prst="rect">
          <a:avLst/>
        </a:prstGeom>
      </xdr:spPr>
    </xdr:pic>
    <xdr:clientData fPrintsWithSheet="0"/>
  </xdr:twoCellAnchor>
  <xdr:twoCellAnchor editAs="oneCell">
    <xdr:from>
      <xdr:col>1</xdr:col>
      <xdr:colOff>2055253</xdr:colOff>
      <xdr:row>6</xdr:row>
      <xdr:rowOff>41868</xdr:rowOff>
    </xdr:from>
    <xdr:to>
      <xdr:col>1</xdr:col>
      <xdr:colOff>2221200</xdr:colOff>
      <xdr:row>7</xdr:row>
      <xdr:rowOff>182879</xdr:rowOff>
    </xdr:to>
    <xdr:pic>
      <xdr:nvPicPr>
        <xdr:cNvPr id="131" name="Picture 130">
          <a:hlinkClick xmlns:r="http://schemas.openxmlformats.org/officeDocument/2006/relationships" r:id="rId4" tooltip="Go back to General Info to change how you sell your product."/>
          <a:extLst>
            <a:ext uri="{FF2B5EF4-FFF2-40B4-BE49-F238E27FC236}">
              <a16:creationId xmlns:a16="http://schemas.microsoft.com/office/drawing/2014/main" id="{00000000-0008-0000-0B00-000083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055253" y="1000648"/>
          <a:ext cx="165947" cy="182879"/>
        </a:xfrm>
        <a:prstGeom prst="rect">
          <a:avLst/>
        </a:prstGeom>
      </xdr:spPr>
    </xdr:pic>
    <xdr:clientData fPrintsWithSheet="0"/>
  </xdr:twoCellAnchor>
  <xdr:twoCellAnchor editAs="oneCell">
    <xdr:from>
      <xdr:col>2</xdr:col>
      <xdr:colOff>0</xdr:colOff>
      <xdr:row>238</xdr:row>
      <xdr:rowOff>0</xdr:rowOff>
    </xdr:from>
    <xdr:to>
      <xdr:col>2</xdr:col>
      <xdr:colOff>137160</xdr:colOff>
      <xdr:row>238</xdr:row>
      <xdr:rowOff>137160</xdr:rowOff>
    </xdr:to>
    <xdr:pic>
      <xdr:nvPicPr>
        <xdr:cNvPr id="132" name="Picture 131">
          <a:hlinkClick xmlns:r="http://schemas.openxmlformats.org/officeDocument/2006/relationships" r:id="rId107" tooltip="Go back to annual summary"/>
          <a:extLst>
            <a:ext uri="{FF2B5EF4-FFF2-40B4-BE49-F238E27FC236}">
              <a16:creationId xmlns:a16="http://schemas.microsoft.com/office/drawing/2014/main" id="{00000000-0008-0000-0B00-00008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14354175"/>
          <a:ext cx="137160" cy="137160"/>
        </a:xfrm>
        <a:prstGeom prst="rect">
          <a:avLst/>
        </a:prstGeom>
      </xdr:spPr>
    </xdr:pic>
    <xdr:clientData fPrintsWithSheet="0"/>
  </xdr:twoCellAnchor>
  <xdr:twoCellAnchor editAs="oneCell">
    <xdr:from>
      <xdr:col>2</xdr:col>
      <xdr:colOff>0</xdr:colOff>
      <xdr:row>239</xdr:row>
      <xdr:rowOff>0</xdr:rowOff>
    </xdr:from>
    <xdr:to>
      <xdr:col>2</xdr:col>
      <xdr:colOff>137160</xdr:colOff>
      <xdr:row>239</xdr:row>
      <xdr:rowOff>137160</xdr:rowOff>
    </xdr:to>
    <xdr:pic>
      <xdr:nvPicPr>
        <xdr:cNvPr id="133" name="Picture 132">
          <a:hlinkClick xmlns:r="http://schemas.openxmlformats.org/officeDocument/2006/relationships" r:id="rId107" tooltip="Go back to annual summary"/>
          <a:extLst>
            <a:ext uri="{FF2B5EF4-FFF2-40B4-BE49-F238E27FC236}">
              <a16:creationId xmlns:a16="http://schemas.microsoft.com/office/drawing/2014/main" id="{00000000-0008-0000-0B00-00008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14516100"/>
          <a:ext cx="137160" cy="137160"/>
        </a:xfrm>
        <a:prstGeom prst="rect">
          <a:avLst/>
        </a:prstGeom>
      </xdr:spPr>
    </xdr:pic>
    <xdr:clientData fPrintsWithSheet="0"/>
  </xdr:twoCellAnchor>
  <xdr:twoCellAnchor editAs="oneCell">
    <xdr:from>
      <xdr:col>2</xdr:col>
      <xdr:colOff>0</xdr:colOff>
      <xdr:row>237</xdr:row>
      <xdr:rowOff>0</xdr:rowOff>
    </xdr:from>
    <xdr:to>
      <xdr:col>2</xdr:col>
      <xdr:colOff>137160</xdr:colOff>
      <xdr:row>237</xdr:row>
      <xdr:rowOff>137160</xdr:rowOff>
    </xdr:to>
    <xdr:pic>
      <xdr:nvPicPr>
        <xdr:cNvPr id="135" name="Picture 134">
          <a:hlinkClick xmlns:r="http://schemas.openxmlformats.org/officeDocument/2006/relationships" r:id="rId9" tooltip="Go back to annual summary"/>
          <a:extLst>
            <a:ext uri="{FF2B5EF4-FFF2-40B4-BE49-F238E27FC236}">
              <a16:creationId xmlns:a16="http://schemas.microsoft.com/office/drawing/2014/main" id="{00000000-0008-0000-0B00-00008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14030325"/>
          <a:ext cx="137160" cy="137160"/>
        </a:xfrm>
        <a:prstGeom prst="rect">
          <a:avLst/>
        </a:prstGeom>
      </xdr:spPr>
    </xdr:pic>
    <xdr:clientData fPrintsWithSheet="0"/>
  </xdr:twoCellAnchor>
  <xdr:twoCellAnchor editAs="oneCell">
    <xdr:from>
      <xdr:col>2</xdr:col>
      <xdr:colOff>0</xdr:colOff>
      <xdr:row>236</xdr:row>
      <xdr:rowOff>0</xdr:rowOff>
    </xdr:from>
    <xdr:to>
      <xdr:col>2</xdr:col>
      <xdr:colOff>137160</xdr:colOff>
      <xdr:row>236</xdr:row>
      <xdr:rowOff>137160</xdr:rowOff>
    </xdr:to>
    <xdr:pic>
      <xdr:nvPicPr>
        <xdr:cNvPr id="136" name="Picture 135">
          <a:hlinkClick xmlns:r="http://schemas.openxmlformats.org/officeDocument/2006/relationships" r:id="rId100" tooltip="Go back to annual summary"/>
          <a:extLst>
            <a:ext uri="{FF2B5EF4-FFF2-40B4-BE49-F238E27FC236}">
              <a16:creationId xmlns:a16="http://schemas.microsoft.com/office/drawing/2014/main" id="{00000000-0008-0000-0B00-00008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13868400"/>
          <a:ext cx="137160" cy="137160"/>
        </a:xfrm>
        <a:prstGeom prst="rect">
          <a:avLst/>
        </a:prstGeom>
      </xdr:spPr>
    </xdr:pic>
    <xdr:clientData fPrintsWithSheet="0"/>
  </xdr:twoCellAnchor>
  <xdr:twoCellAnchor editAs="oneCell">
    <xdr:from>
      <xdr:col>2</xdr:col>
      <xdr:colOff>0</xdr:colOff>
      <xdr:row>230</xdr:row>
      <xdr:rowOff>0</xdr:rowOff>
    </xdr:from>
    <xdr:to>
      <xdr:col>2</xdr:col>
      <xdr:colOff>137160</xdr:colOff>
      <xdr:row>230</xdr:row>
      <xdr:rowOff>137160</xdr:rowOff>
    </xdr:to>
    <xdr:pic>
      <xdr:nvPicPr>
        <xdr:cNvPr id="140" name="Picture 139">
          <a:hlinkClick xmlns:r="http://schemas.openxmlformats.org/officeDocument/2006/relationships" r:id="rId9" tooltip="Go back to annual summary"/>
          <a:extLst>
            <a:ext uri="{FF2B5EF4-FFF2-40B4-BE49-F238E27FC236}">
              <a16:creationId xmlns:a16="http://schemas.microsoft.com/office/drawing/2014/main" id="{00000000-0008-0000-0B00-00008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13220700"/>
          <a:ext cx="137160" cy="137160"/>
        </a:xfrm>
        <a:prstGeom prst="rect">
          <a:avLst/>
        </a:prstGeom>
      </xdr:spPr>
    </xdr:pic>
    <xdr:clientData fPrintsWithSheet="0"/>
  </xdr:twoCellAnchor>
  <xdr:twoCellAnchor editAs="oneCell">
    <xdr:from>
      <xdr:col>2</xdr:col>
      <xdr:colOff>0</xdr:colOff>
      <xdr:row>232</xdr:row>
      <xdr:rowOff>0</xdr:rowOff>
    </xdr:from>
    <xdr:to>
      <xdr:col>2</xdr:col>
      <xdr:colOff>137160</xdr:colOff>
      <xdr:row>232</xdr:row>
      <xdr:rowOff>137160</xdr:rowOff>
    </xdr:to>
    <xdr:pic>
      <xdr:nvPicPr>
        <xdr:cNvPr id="141" name="Picture 140">
          <a:hlinkClick xmlns:r="http://schemas.openxmlformats.org/officeDocument/2006/relationships" r:id="rId100" tooltip="Go back to annual summary"/>
          <a:extLst>
            <a:ext uri="{FF2B5EF4-FFF2-40B4-BE49-F238E27FC236}">
              <a16:creationId xmlns:a16="http://schemas.microsoft.com/office/drawing/2014/main" id="{00000000-0008-0000-0B00-00008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13382625"/>
          <a:ext cx="137160" cy="137160"/>
        </a:xfrm>
        <a:prstGeom prst="rect">
          <a:avLst/>
        </a:prstGeom>
      </xdr:spPr>
    </xdr:pic>
    <xdr:clientData fPrintsWithSheet="0"/>
  </xdr:twoCellAnchor>
  <xdr:twoCellAnchor editAs="oneCell">
    <xdr:from>
      <xdr:col>2</xdr:col>
      <xdr:colOff>0</xdr:colOff>
      <xdr:row>233</xdr:row>
      <xdr:rowOff>0</xdr:rowOff>
    </xdr:from>
    <xdr:to>
      <xdr:col>2</xdr:col>
      <xdr:colOff>137160</xdr:colOff>
      <xdr:row>233</xdr:row>
      <xdr:rowOff>137160</xdr:rowOff>
    </xdr:to>
    <xdr:pic>
      <xdr:nvPicPr>
        <xdr:cNvPr id="142" name="Picture 141">
          <a:hlinkClick xmlns:r="http://schemas.openxmlformats.org/officeDocument/2006/relationships" r:id="rId9" tooltip="Go back to annual summary"/>
          <a:extLst>
            <a:ext uri="{FF2B5EF4-FFF2-40B4-BE49-F238E27FC236}">
              <a16:creationId xmlns:a16="http://schemas.microsoft.com/office/drawing/2014/main" id="{00000000-0008-0000-0B00-00008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13544550"/>
          <a:ext cx="137160" cy="137160"/>
        </a:xfrm>
        <a:prstGeom prst="rect">
          <a:avLst/>
        </a:prstGeom>
      </xdr:spPr>
    </xdr:pic>
    <xdr:clientData fPrintsWithSheet="0"/>
  </xdr:twoCellAnchor>
  <xdr:twoCellAnchor editAs="oneCell">
    <xdr:from>
      <xdr:col>2</xdr:col>
      <xdr:colOff>0</xdr:colOff>
      <xdr:row>227</xdr:row>
      <xdr:rowOff>0</xdr:rowOff>
    </xdr:from>
    <xdr:to>
      <xdr:col>2</xdr:col>
      <xdr:colOff>136221</xdr:colOff>
      <xdr:row>227</xdr:row>
      <xdr:rowOff>136221</xdr:rowOff>
    </xdr:to>
    <xdr:pic>
      <xdr:nvPicPr>
        <xdr:cNvPr id="143" name="Picture 142">
          <a:hlinkClick xmlns:r="http://schemas.openxmlformats.org/officeDocument/2006/relationships" r:id="rId22" tooltip="Go back to annual summary"/>
          <a:extLst>
            <a:ext uri="{FF2B5EF4-FFF2-40B4-BE49-F238E27FC236}">
              <a16:creationId xmlns:a16="http://schemas.microsoft.com/office/drawing/2014/main" id="{00000000-0008-0000-0B00-00008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12896850"/>
          <a:ext cx="136221" cy="136221"/>
        </a:xfrm>
        <a:prstGeom prst="rect">
          <a:avLst/>
        </a:prstGeom>
      </xdr:spPr>
    </xdr:pic>
    <xdr:clientData fPrintsWithSheet="0"/>
  </xdr:twoCellAnchor>
  <xdr:twoCellAnchor editAs="oneCell">
    <xdr:from>
      <xdr:col>2</xdr:col>
      <xdr:colOff>0</xdr:colOff>
      <xdr:row>228</xdr:row>
      <xdr:rowOff>0</xdr:rowOff>
    </xdr:from>
    <xdr:to>
      <xdr:col>2</xdr:col>
      <xdr:colOff>136221</xdr:colOff>
      <xdr:row>228</xdr:row>
      <xdr:rowOff>136221</xdr:rowOff>
    </xdr:to>
    <xdr:pic>
      <xdr:nvPicPr>
        <xdr:cNvPr id="144" name="Picture 143">
          <a:hlinkClick xmlns:r="http://schemas.openxmlformats.org/officeDocument/2006/relationships" r:id="rId22" tooltip="Go back to annual summary"/>
          <a:extLst>
            <a:ext uri="{FF2B5EF4-FFF2-40B4-BE49-F238E27FC236}">
              <a16:creationId xmlns:a16="http://schemas.microsoft.com/office/drawing/2014/main" id="{00000000-0008-0000-0B00-00009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13058775"/>
          <a:ext cx="136221" cy="136221"/>
        </a:xfrm>
        <a:prstGeom prst="rect">
          <a:avLst/>
        </a:prstGeom>
      </xdr:spPr>
    </xdr:pic>
    <xdr:clientData fPrintsWithSheet="0"/>
  </xdr:twoCellAnchor>
  <xdr:twoCellAnchor editAs="oneCell">
    <xdr:from>
      <xdr:col>2</xdr:col>
      <xdr:colOff>0</xdr:colOff>
      <xdr:row>24</xdr:row>
      <xdr:rowOff>0</xdr:rowOff>
    </xdr:from>
    <xdr:to>
      <xdr:col>2</xdr:col>
      <xdr:colOff>136221</xdr:colOff>
      <xdr:row>24</xdr:row>
      <xdr:rowOff>136221</xdr:rowOff>
    </xdr:to>
    <xdr:pic>
      <xdr:nvPicPr>
        <xdr:cNvPr id="145" name="Picture 144">
          <a:hlinkClick xmlns:r="http://schemas.openxmlformats.org/officeDocument/2006/relationships" r:id="rId108" tooltip="Go back to annual summary"/>
          <a:extLst>
            <a:ext uri="{FF2B5EF4-FFF2-40B4-BE49-F238E27FC236}">
              <a16:creationId xmlns:a16="http://schemas.microsoft.com/office/drawing/2014/main" id="{00000000-0008-0000-0B00-00009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4238625"/>
          <a:ext cx="136221" cy="136221"/>
        </a:xfrm>
        <a:prstGeom prst="rect">
          <a:avLst/>
        </a:prstGeom>
      </xdr:spPr>
    </xdr:pic>
    <xdr:clientData fPrintsWithSheet="0"/>
  </xdr:twoCellAnchor>
  <xdr:twoCellAnchor editAs="oneCell">
    <xdr:from>
      <xdr:col>2</xdr:col>
      <xdr:colOff>0</xdr:colOff>
      <xdr:row>25</xdr:row>
      <xdr:rowOff>0</xdr:rowOff>
    </xdr:from>
    <xdr:to>
      <xdr:col>2</xdr:col>
      <xdr:colOff>136221</xdr:colOff>
      <xdr:row>25</xdr:row>
      <xdr:rowOff>136221</xdr:rowOff>
    </xdr:to>
    <xdr:pic>
      <xdr:nvPicPr>
        <xdr:cNvPr id="146" name="Picture 145">
          <a:hlinkClick xmlns:r="http://schemas.openxmlformats.org/officeDocument/2006/relationships" r:id="rId109" tooltip="Go back to annual summary"/>
          <a:extLst>
            <a:ext uri="{FF2B5EF4-FFF2-40B4-BE49-F238E27FC236}">
              <a16:creationId xmlns:a16="http://schemas.microsoft.com/office/drawing/2014/main" id="{00000000-0008-0000-0B00-00009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4400550"/>
          <a:ext cx="136221" cy="136221"/>
        </a:xfrm>
        <a:prstGeom prst="rect">
          <a:avLst/>
        </a:prstGeom>
      </xdr:spPr>
    </xdr:pic>
    <xdr:clientData fPrintsWithSheet="0"/>
  </xdr:twoCellAnchor>
  <xdr:twoCellAnchor editAs="oneCell">
    <xdr:from>
      <xdr:col>2</xdr:col>
      <xdr:colOff>0</xdr:colOff>
      <xdr:row>26</xdr:row>
      <xdr:rowOff>0</xdr:rowOff>
    </xdr:from>
    <xdr:to>
      <xdr:col>2</xdr:col>
      <xdr:colOff>136221</xdr:colOff>
      <xdr:row>26</xdr:row>
      <xdr:rowOff>136221</xdr:rowOff>
    </xdr:to>
    <xdr:pic>
      <xdr:nvPicPr>
        <xdr:cNvPr id="147" name="Picture 146">
          <a:hlinkClick xmlns:r="http://schemas.openxmlformats.org/officeDocument/2006/relationships" r:id="rId110" tooltip="Go back to annual summary"/>
          <a:extLst>
            <a:ext uri="{FF2B5EF4-FFF2-40B4-BE49-F238E27FC236}">
              <a16:creationId xmlns:a16="http://schemas.microsoft.com/office/drawing/2014/main" id="{00000000-0008-0000-0B00-00009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4562475"/>
          <a:ext cx="136221" cy="136221"/>
        </a:xfrm>
        <a:prstGeom prst="rect">
          <a:avLst/>
        </a:prstGeom>
      </xdr:spPr>
    </xdr:pic>
    <xdr:clientData fPrintsWithSheet="0"/>
  </xdr:twoCellAnchor>
  <xdr:twoCellAnchor editAs="oneCell">
    <xdr:from>
      <xdr:col>2</xdr:col>
      <xdr:colOff>0</xdr:colOff>
      <xdr:row>29</xdr:row>
      <xdr:rowOff>0</xdr:rowOff>
    </xdr:from>
    <xdr:to>
      <xdr:col>2</xdr:col>
      <xdr:colOff>136221</xdr:colOff>
      <xdr:row>29</xdr:row>
      <xdr:rowOff>136221</xdr:rowOff>
    </xdr:to>
    <xdr:pic>
      <xdr:nvPicPr>
        <xdr:cNvPr id="148" name="Picture 147">
          <a:hlinkClick xmlns:r="http://schemas.openxmlformats.org/officeDocument/2006/relationships" r:id="rId111" tooltip="Go back to annual summary"/>
          <a:extLst>
            <a:ext uri="{FF2B5EF4-FFF2-40B4-BE49-F238E27FC236}">
              <a16:creationId xmlns:a16="http://schemas.microsoft.com/office/drawing/2014/main" id="{00000000-0008-0000-0B00-00009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5048250"/>
          <a:ext cx="136221" cy="136221"/>
        </a:xfrm>
        <a:prstGeom prst="rect">
          <a:avLst/>
        </a:prstGeom>
      </xdr:spPr>
    </xdr:pic>
    <xdr:clientData fPrintsWithSheet="0"/>
  </xdr:twoCellAnchor>
  <xdr:twoCellAnchor editAs="oneCell">
    <xdr:from>
      <xdr:col>2</xdr:col>
      <xdr:colOff>0</xdr:colOff>
      <xdr:row>30</xdr:row>
      <xdr:rowOff>0</xdr:rowOff>
    </xdr:from>
    <xdr:to>
      <xdr:col>2</xdr:col>
      <xdr:colOff>136221</xdr:colOff>
      <xdr:row>30</xdr:row>
      <xdr:rowOff>136221</xdr:rowOff>
    </xdr:to>
    <xdr:pic>
      <xdr:nvPicPr>
        <xdr:cNvPr id="149" name="Picture 148">
          <a:hlinkClick xmlns:r="http://schemas.openxmlformats.org/officeDocument/2006/relationships" r:id="rId112" tooltip="Go back to annual summary"/>
          <a:extLst>
            <a:ext uri="{FF2B5EF4-FFF2-40B4-BE49-F238E27FC236}">
              <a16:creationId xmlns:a16="http://schemas.microsoft.com/office/drawing/2014/main" id="{00000000-0008-0000-0B00-00009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5210175"/>
          <a:ext cx="136221" cy="136221"/>
        </a:xfrm>
        <a:prstGeom prst="rect">
          <a:avLst/>
        </a:prstGeom>
      </xdr:spPr>
    </xdr:pic>
    <xdr:clientData fPrintsWithSheet="0"/>
  </xdr:twoCellAnchor>
  <xdr:twoCellAnchor editAs="oneCell">
    <xdr:from>
      <xdr:col>2</xdr:col>
      <xdr:colOff>0</xdr:colOff>
      <xdr:row>31</xdr:row>
      <xdr:rowOff>0</xdr:rowOff>
    </xdr:from>
    <xdr:to>
      <xdr:col>2</xdr:col>
      <xdr:colOff>136221</xdr:colOff>
      <xdr:row>31</xdr:row>
      <xdr:rowOff>136221</xdr:rowOff>
    </xdr:to>
    <xdr:pic>
      <xdr:nvPicPr>
        <xdr:cNvPr id="150" name="Picture 149">
          <a:hlinkClick xmlns:r="http://schemas.openxmlformats.org/officeDocument/2006/relationships" r:id="rId113" tooltip="Go back to annual summary"/>
          <a:extLst>
            <a:ext uri="{FF2B5EF4-FFF2-40B4-BE49-F238E27FC236}">
              <a16:creationId xmlns:a16="http://schemas.microsoft.com/office/drawing/2014/main" id="{00000000-0008-0000-0B00-00009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5372100"/>
          <a:ext cx="136221" cy="136221"/>
        </a:xfrm>
        <a:prstGeom prst="rect">
          <a:avLst/>
        </a:prstGeom>
      </xdr:spPr>
    </xdr:pic>
    <xdr:clientData fPrintsWithSheet="0"/>
  </xdr:twoCellAnchor>
  <xdr:twoCellAnchor editAs="oneCell">
    <xdr:from>
      <xdr:col>2</xdr:col>
      <xdr:colOff>0</xdr:colOff>
      <xdr:row>32</xdr:row>
      <xdr:rowOff>0</xdr:rowOff>
    </xdr:from>
    <xdr:to>
      <xdr:col>2</xdr:col>
      <xdr:colOff>136221</xdr:colOff>
      <xdr:row>32</xdr:row>
      <xdr:rowOff>136221</xdr:rowOff>
    </xdr:to>
    <xdr:pic>
      <xdr:nvPicPr>
        <xdr:cNvPr id="151" name="Picture 150">
          <a:hlinkClick xmlns:r="http://schemas.openxmlformats.org/officeDocument/2006/relationships" r:id="rId114" tooltip="Go back to annual summary"/>
          <a:extLst>
            <a:ext uri="{FF2B5EF4-FFF2-40B4-BE49-F238E27FC236}">
              <a16:creationId xmlns:a16="http://schemas.microsoft.com/office/drawing/2014/main" id="{00000000-0008-0000-0B00-00009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5534025"/>
          <a:ext cx="136221" cy="136221"/>
        </a:xfrm>
        <a:prstGeom prst="rect">
          <a:avLst/>
        </a:prstGeom>
      </xdr:spPr>
    </xdr:pic>
    <xdr:clientData fPrintsWithSheet="0"/>
  </xdr:twoCellAnchor>
  <xdr:twoCellAnchor editAs="oneCell">
    <xdr:from>
      <xdr:col>2</xdr:col>
      <xdr:colOff>0</xdr:colOff>
      <xdr:row>33</xdr:row>
      <xdr:rowOff>0</xdr:rowOff>
    </xdr:from>
    <xdr:to>
      <xdr:col>2</xdr:col>
      <xdr:colOff>136221</xdr:colOff>
      <xdr:row>33</xdr:row>
      <xdr:rowOff>136221</xdr:rowOff>
    </xdr:to>
    <xdr:pic>
      <xdr:nvPicPr>
        <xdr:cNvPr id="152" name="Picture 151">
          <a:hlinkClick xmlns:r="http://schemas.openxmlformats.org/officeDocument/2006/relationships" r:id="rId115" tooltip="Go back to annual summary"/>
          <a:extLst>
            <a:ext uri="{FF2B5EF4-FFF2-40B4-BE49-F238E27FC236}">
              <a16:creationId xmlns:a16="http://schemas.microsoft.com/office/drawing/2014/main" id="{00000000-0008-0000-0B00-00009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5695950"/>
          <a:ext cx="136221" cy="136221"/>
        </a:xfrm>
        <a:prstGeom prst="rect">
          <a:avLst/>
        </a:prstGeom>
      </xdr:spPr>
    </xdr:pic>
    <xdr:clientData fPrintsWithSheet="0"/>
  </xdr:twoCellAnchor>
  <xdr:twoCellAnchor editAs="oneCell">
    <xdr:from>
      <xdr:col>2</xdr:col>
      <xdr:colOff>0</xdr:colOff>
      <xdr:row>34</xdr:row>
      <xdr:rowOff>0</xdr:rowOff>
    </xdr:from>
    <xdr:to>
      <xdr:col>2</xdr:col>
      <xdr:colOff>136221</xdr:colOff>
      <xdr:row>34</xdr:row>
      <xdr:rowOff>136221</xdr:rowOff>
    </xdr:to>
    <xdr:pic>
      <xdr:nvPicPr>
        <xdr:cNvPr id="153" name="Picture 152">
          <a:hlinkClick xmlns:r="http://schemas.openxmlformats.org/officeDocument/2006/relationships" r:id="rId116" tooltip="Go back to annual summary"/>
          <a:extLst>
            <a:ext uri="{FF2B5EF4-FFF2-40B4-BE49-F238E27FC236}">
              <a16:creationId xmlns:a16="http://schemas.microsoft.com/office/drawing/2014/main" id="{00000000-0008-0000-0B00-00009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5857875"/>
          <a:ext cx="136221" cy="136221"/>
        </a:xfrm>
        <a:prstGeom prst="rect">
          <a:avLst/>
        </a:prstGeom>
      </xdr:spPr>
    </xdr:pic>
    <xdr:clientData fPrintsWithSheet="0"/>
  </xdr:twoCellAnchor>
  <xdr:twoCellAnchor editAs="oneCell">
    <xdr:from>
      <xdr:col>2</xdr:col>
      <xdr:colOff>0</xdr:colOff>
      <xdr:row>35</xdr:row>
      <xdr:rowOff>0</xdr:rowOff>
    </xdr:from>
    <xdr:to>
      <xdr:col>2</xdr:col>
      <xdr:colOff>136221</xdr:colOff>
      <xdr:row>35</xdr:row>
      <xdr:rowOff>136221</xdr:rowOff>
    </xdr:to>
    <xdr:pic>
      <xdr:nvPicPr>
        <xdr:cNvPr id="154" name="Picture 153">
          <a:hlinkClick xmlns:r="http://schemas.openxmlformats.org/officeDocument/2006/relationships" r:id="rId117" tooltip="Go back to annual summary"/>
          <a:extLst>
            <a:ext uri="{FF2B5EF4-FFF2-40B4-BE49-F238E27FC236}">
              <a16:creationId xmlns:a16="http://schemas.microsoft.com/office/drawing/2014/main" id="{00000000-0008-0000-0B00-00009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6019800"/>
          <a:ext cx="136221" cy="136221"/>
        </a:xfrm>
        <a:prstGeom prst="rect">
          <a:avLst/>
        </a:prstGeom>
      </xdr:spPr>
    </xdr:pic>
    <xdr:clientData fPrintsWithSheet="0"/>
  </xdr:twoCellAnchor>
  <xdr:twoCellAnchor editAs="oneCell">
    <xdr:from>
      <xdr:col>2</xdr:col>
      <xdr:colOff>0</xdr:colOff>
      <xdr:row>36</xdr:row>
      <xdr:rowOff>0</xdr:rowOff>
    </xdr:from>
    <xdr:to>
      <xdr:col>2</xdr:col>
      <xdr:colOff>136221</xdr:colOff>
      <xdr:row>36</xdr:row>
      <xdr:rowOff>136221</xdr:rowOff>
    </xdr:to>
    <xdr:pic>
      <xdr:nvPicPr>
        <xdr:cNvPr id="155" name="Picture 154">
          <a:hlinkClick xmlns:r="http://schemas.openxmlformats.org/officeDocument/2006/relationships" r:id="rId118" tooltip="Go back to annual summary"/>
          <a:extLst>
            <a:ext uri="{FF2B5EF4-FFF2-40B4-BE49-F238E27FC236}">
              <a16:creationId xmlns:a16="http://schemas.microsoft.com/office/drawing/2014/main" id="{00000000-0008-0000-0B00-00009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6181725"/>
          <a:ext cx="136221" cy="136221"/>
        </a:xfrm>
        <a:prstGeom prst="rect">
          <a:avLst/>
        </a:prstGeom>
      </xdr:spPr>
    </xdr:pic>
    <xdr:clientData fPrintsWithSheet="0"/>
  </xdr:twoCellAnchor>
  <xdr:twoCellAnchor editAs="oneCell">
    <xdr:from>
      <xdr:col>2</xdr:col>
      <xdr:colOff>0</xdr:colOff>
      <xdr:row>38</xdr:row>
      <xdr:rowOff>0</xdr:rowOff>
    </xdr:from>
    <xdr:to>
      <xdr:col>2</xdr:col>
      <xdr:colOff>136221</xdr:colOff>
      <xdr:row>38</xdr:row>
      <xdr:rowOff>136221</xdr:rowOff>
    </xdr:to>
    <xdr:pic>
      <xdr:nvPicPr>
        <xdr:cNvPr id="156" name="Picture 155">
          <a:hlinkClick xmlns:r="http://schemas.openxmlformats.org/officeDocument/2006/relationships" r:id="rId119" tooltip="Go back to annual summary"/>
          <a:extLst>
            <a:ext uri="{FF2B5EF4-FFF2-40B4-BE49-F238E27FC236}">
              <a16:creationId xmlns:a16="http://schemas.microsoft.com/office/drawing/2014/main" id="{00000000-0008-0000-0B00-00009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6505575"/>
          <a:ext cx="136221" cy="136221"/>
        </a:xfrm>
        <a:prstGeom prst="rect">
          <a:avLst/>
        </a:prstGeom>
      </xdr:spPr>
    </xdr:pic>
    <xdr:clientData fPrintsWithSheet="0"/>
  </xdr:twoCellAnchor>
  <xdr:twoCellAnchor editAs="oneCell">
    <xdr:from>
      <xdr:col>2</xdr:col>
      <xdr:colOff>0</xdr:colOff>
      <xdr:row>39</xdr:row>
      <xdr:rowOff>0</xdr:rowOff>
    </xdr:from>
    <xdr:to>
      <xdr:col>2</xdr:col>
      <xdr:colOff>136221</xdr:colOff>
      <xdr:row>39</xdr:row>
      <xdr:rowOff>136221</xdr:rowOff>
    </xdr:to>
    <xdr:pic>
      <xdr:nvPicPr>
        <xdr:cNvPr id="157" name="Picture 156">
          <a:hlinkClick xmlns:r="http://schemas.openxmlformats.org/officeDocument/2006/relationships" r:id="rId120" tooltip="Go back to annual summary"/>
          <a:extLst>
            <a:ext uri="{FF2B5EF4-FFF2-40B4-BE49-F238E27FC236}">
              <a16:creationId xmlns:a16="http://schemas.microsoft.com/office/drawing/2014/main" id="{00000000-0008-0000-0B00-00009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6667500"/>
          <a:ext cx="136221" cy="136221"/>
        </a:xfrm>
        <a:prstGeom prst="rect">
          <a:avLst/>
        </a:prstGeom>
      </xdr:spPr>
    </xdr:pic>
    <xdr:clientData fPrintsWithSheet="0"/>
  </xdr:twoCellAnchor>
  <xdr:twoCellAnchor editAs="oneCell">
    <xdr:from>
      <xdr:col>2</xdr:col>
      <xdr:colOff>0</xdr:colOff>
      <xdr:row>40</xdr:row>
      <xdr:rowOff>0</xdr:rowOff>
    </xdr:from>
    <xdr:to>
      <xdr:col>2</xdr:col>
      <xdr:colOff>136221</xdr:colOff>
      <xdr:row>40</xdr:row>
      <xdr:rowOff>136221</xdr:rowOff>
    </xdr:to>
    <xdr:pic>
      <xdr:nvPicPr>
        <xdr:cNvPr id="158" name="Picture 157">
          <a:hlinkClick xmlns:r="http://schemas.openxmlformats.org/officeDocument/2006/relationships" r:id="rId121" tooltip="Go back to annual summary"/>
          <a:extLst>
            <a:ext uri="{FF2B5EF4-FFF2-40B4-BE49-F238E27FC236}">
              <a16:creationId xmlns:a16="http://schemas.microsoft.com/office/drawing/2014/main" id="{00000000-0008-0000-0B00-00009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6829425"/>
          <a:ext cx="136221" cy="136221"/>
        </a:xfrm>
        <a:prstGeom prst="rect">
          <a:avLst/>
        </a:prstGeom>
      </xdr:spPr>
    </xdr:pic>
    <xdr:clientData fPrintsWithSheet="0"/>
  </xdr:twoCellAnchor>
  <xdr:twoCellAnchor editAs="oneCell">
    <xdr:from>
      <xdr:col>2</xdr:col>
      <xdr:colOff>0</xdr:colOff>
      <xdr:row>42</xdr:row>
      <xdr:rowOff>0</xdr:rowOff>
    </xdr:from>
    <xdr:to>
      <xdr:col>2</xdr:col>
      <xdr:colOff>136221</xdr:colOff>
      <xdr:row>42</xdr:row>
      <xdr:rowOff>136221</xdr:rowOff>
    </xdr:to>
    <xdr:pic>
      <xdr:nvPicPr>
        <xdr:cNvPr id="160" name="Picture 159">
          <a:hlinkClick xmlns:r="http://schemas.openxmlformats.org/officeDocument/2006/relationships" r:id="rId122" tooltip="Go back to annual summary"/>
          <a:extLst>
            <a:ext uri="{FF2B5EF4-FFF2-40B4-BE49-F238E27FC236}">
              <a16:creationId xmlns:a16="http://schemas.microsoft.com/office/drawing/2014/main" id="{00000000-0008-0000-0B00-0000A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7153275"/>
          <a:ext cx="136221" cy="136221"/>
        </a:xfrm>
        <a:prstGeom prst="rect">
          <a:avLst/>
        </a:prstGeom>
      </xdr:spPr>
    </xdr:pic>
    <xdr:clientData fPrintsWithSheet="0"/>
  </xdr:twoCellAnchor>
  <xdr:twoCellAnchor editAs="oneCell">
    <xdr:from>
      <xdr:col>2</xdr:col>
      <xdr:colOff>0</xdr:colOff>
      <xdr:row>46</xdr:row>
      <xdr:rowOff>0</xdr:rowOff>
    </xdr:from>
    <xdr:to>
      <xdr:col>2</xdr:col>
      <xdr:colOff>136221</xdr:colOff>
      <xdr:row>46</xdr:row>
      <xdr:rowOff>136221</xdr:rowOff>
    </xdr:to>
    <xdr:pic>
      <xdr:nvPicPr>
        <xdr:cNvPr id="161" name="Picture 160">
          <a:hlinkClick xmlns:r="http://schemas.openxmlformats.org/officeDocument/2006/relationships" r:id="rId123" tooltip="Go back to annual summary"/>
          <a:extLst>
            <a:ext uri="{FF2B5EF4-FFF2-40B4-BE49-F238E27FC236}">
              <a16:creationId xmlns:a16="http://schemas.microsoft.com/office/drawing/2014/main" id="{00000000-0008-0000-0B00-0000A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7800975"/>
          <a:ext cx="136221" cy="136221"/>
        </a:xfrm>
        <a:prstGeom prst="rect">
          <a:avLst/>
        </a:prstGeom>
      </xdr:spPr>
    </xdr:pic>
    <xdr:clientData fPrintsWithSheet="0"/>
  </xdr:twoCellAnchor>
  <xdr:twoCellAnchor editAs="oneCell">
    <xdr:from>
      <xdr:col>2</xdr:col>
      <xdr:colOff>0</xdr:colOff>
      <xdr:row>47</xdr:row>
      <xdr:rowOff>0</xdr:rowOff>
    </xdr:from>
    <xdr:to>
      <xdr:col>2</xdr:col>
      <xdr:colOff>136221</xdr:colOff>
      <xdr:row>47</xdr:row>
      <xdr:rowOff>136221</xdr:rowOff>
    </xdr:to>
    <xdr:pic>
      <xdr:nvPicPr>
        <xdr:cNvPr id="162" name="Picture 161">
          <a:hlinkClick xmlns:r="http://schemas.openxmlformats.org/officeDocument/2006/relationships" r:id="rId124" tooltip="Go back to annual summary"/>
          <a:extLst>
            <a:ext uri="{FF2B5EF4-FFF2-40B4-BE49-F238E27FC236}">
              <a16:creationId xmlns:a16="http://schemas.microsoft.com/office/drawing/2014/main" id="{00000000-0008-0000-0B00-0000A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7962900"/>
          <a:ext cx="136221" cy="136221"/>
        </a:xfrm>
        <a:prstGeom prst="rect">
          <a:avLst/>
        </a:prstGeom>
      </xdr:spPr>
    </xdr:pic>
    <xdr:clientData fPrintsWithSheet="0"/>
  </xdr:twoCellAnchor>
  <xdr:oneCellAnchor>
    <xdr:from>
      <xdr:col>2</xdr:col>
      <xdr:colOff>0</xdr:colOff>
      <xdr:row>81</xdr:row>
      <xdr:rowOff>469</xdr:rowOff>
    </xdr:from>
    <xdr:ext cx="136221" cy="136221"/>
    <xdr:pic>
      <xdr:nvPicPr>
        <xdr:cNvPr id="163" name="Picture 162">
          <a:hlinkClick xmlns:r="http://schemas.openxmlformats.org/officeDocument/2006/relationships" r:id="rId28" tooltip="Go back to annual summary"/>
          <a:extLst>
            <a:ext uri="{FF2B5EF4-FFF2-40B4-BE49-F238E27FC236}">
              <a16:creationId xmlns:a16="http://schemas.microsoft.com/office/drawing/2014/main" id="{00000000-0008-0000-0B00-0000A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11554294"/>
          <a:ext cx="136221" cy="136221"/>
        </a:xfrm>
        <a:prstGeom prst="rect">
          <a:avLst/>
        </a:prstGeom>
      </xdr:spPr>
    </xdr:pic>
    <xdr:clientData fPrintsWithSheet="0"/>
  </xdr:oneCellAnchor>
  <xdr:twoCellAnchor editAs="oneCell">
    <xdr:from>
      <xdr:col>2</xdr:col>
      <xdr:colOff>0</xdr:colOff>
      <xdr:row>138</xdr:row>
      <xdr:rowOff>0</xdr:rowOff>
    </xdr:from>
    <xdr:to>
      <xdr:col>2</xdr:col>
      <xdr:colOff>136221</xdr:colOff>
      <xdr:row>138</xdr:row>
      <xdr:rowOff>136221</xdr:rowOff>
    </xdr:to>
    <xdr:pic>
      <xdr:nvPicPr>
        <xdr:cNvPr id="164" name="Picture 163">
          <a:hlinkClick xmlns:r="http://schemas.openxmlformats.org/officeDocument/2006/relationships" r:id="rId51" tooltip="Go back to annual summary"/>
          <a:extLst>
            <a:ext uri="{FF2B5EF4-FFF2-40B4-BE49-F238E27FC236}">
              <a16:creationId xmlns:a16="http://schemas.microsoft.com/office/drawing/2014/main" id="{00000000-0008-0000-0B00-0000A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28950" y="21445538"/>
          <a:ext cx="136221" cy="136221"/>
        </a:xfrm>
        <a:prstGeom prst="rect">
          <a:avLst/>
        </a:prstGeom>
      </xdr:spPr>
    </xdr:pic>
    <xdr:clientData fPrintsWithSheet="0"/>
  </xdr:twoCellAnchor>
  <xdr:twoCellAnchor editAs="oneCell">
    <xdr:from>
      <xdr:col>2</xdr:col>
      <xdr:colOff>0</xdr:colOff>
      <xdr:row>246</xdr:row>
      <xdr:rowOff>0</xdr:rowOff>
    </xdr:from>
    <xdr:to>
      <xdr:col>2</xdr:col>
      <xdr:colOff>136221</xdr:colOff>
      <xdr:row>246</xdr:row>
      <xdr:rowOff>136221</xdr:rowOff>
    </xdr:to>
    <xdr:pic>
      <xdr:nvPicPr>
        <xdr:cNvPr id="165" name="Picture 164">
          <a:hlinkClick xmlns:r="http://schemas.openxmlformats.org/officeDocument/2006/relationships" r:id="rId125" tooltip="Go back to annual summary"/>
          <a:extLst>
            <a:ext uri="{FF2B5EF4-FFF2-40B4-BE49-F238E27FC236}">
              <a16:creationId xmlns:a16="http://schemas.microsoft.com/office/drawing/2014/main" id="{00000000-0008-0000-0B00-0000A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28950" y="22755225"/>
          <a:ext cx="136221" cy="136221"/>
        </a:xfrm>
        <a:prstGeom prst="rect">
          <a:avLst/>
        </a:prstGeom>
      </xdr:spPr>
    </xdr:pic>
    <xdr:clientData fPrintsWithSheet="0"/>
  </xdr:twoCellAnchor>
  <xdr:twoCellAnchor editAs="oneCell">
    <xdr:from>
      <xdr:col>1</xdr:col>
      <xdr:colOff>1462607</xdr:colOff>
      <xdr:row>246</xdr:row>
      <xdr:rowOff>0</xdr:rowOff>
    </xdr:from>
    <xdr:to>
      <xdr:col>1</xdr:col>
      <xdr:colOff>1602148</xdr:colOff>
      <xdr:row>246</xdr:row>
      <xdr:rowOff>137160</xdr:rowOff>
    </xdr:to>
    <xdr:pic>
      <xdr:nvPicPr>
        <xdr:cNvPr id="166" name="Picture 165">
          <a:hlinkClick xmlns:r="http://schemas.openxmlformats.org/officeDocument/2006/relationships" r:id="rId126" tooltip="Go back to projected inventory"/>
          <a:extLst>
            <a:ext uri="{FF2B5EF4-FFF2-40B4-BE49-F238E27FC236}">
              <a16:creationId xmlns:a16="http://schemas.microsoft.com/office/drawing/2014/main" id="{00000000-0008-0000-0B00-0000A6000000}"/>
            </a:ext>
          </a:extLst>
        </xdr:cNvPr>
        <xdr:cNvPicPr>
          <a:picLocks noChangeAspect="1"/>
        </xdr:cNvPicPr>
      </xdr:nvPicPr>
      <xdr:blipFill>
        <a:blip xmlns:r="http://schemas.openxmlformats.org/officeDocument/2006/relationships" r:embed="rId93" cstate="print">
          <a:extLst>
            <a:ext uri="{28A0092B-C50C-407E-A947-70E740481C1C}">
              <a14:useLocalDpi xmlns:a14="http://schemas.microsoft.com/office/drawing/2010/main" val="0"/>
            </a:ext>
          </a:extLst>
        </a:blip>
        <a:stretch>
          <a:fillRect/>
        </a:stretch>
      </xdr:blipFill>
      <xdr:spPr>
        <a:xfrm>
          <a:off x="1462607" y="22174200"/>
          <a:ext cx="139541" cy="137160"/>
        </a:xfrm>
        <a:prstGeom prst="rect">
          <a:avLst/>
        </a:prstGeom>
      </xdr:spPr>
    </xdr:pic>
    <xdr:clientData fPrintsWithSheet="0"/>
  </xdr:twoCellAnchor>
  <xdr:twoCellAnchor editAs="oneCell">
    <xdr:from>
      <xdr:col>2</xdr:col>
      <xdr:colOff>0</xdr:colOff>
      <xdr:row>182</xdr:row>
      <xdr:rowOff>0</xdr:rowOff>
    </xdr:from>
    <xdr:to>
      <xdr:col>2</xdr:col>
      <xdr:colOff>136221</xdr:colOff>
      <xdr:row>182</xdr:row>
      <xdr:rowOff>136221</xdr:rowOff>
    </xdr:to>
    <xdr:pic>
      <xdr:nvPicPr>
        <xdr:cNvPr id="167" name="Picture 166">
          <a:hlinkClick xmlns:r="http://schemas.openxmlformats.org/officeDocument/2006/relationships" r:id="rId127" tooltip="Go back to annual summary"/>
          <a:extLst>
            <a:ext uri="{FF2B5EF4-FFF2-40B4-BE49-F238E27FC236}">
              <a16:creationId xmlns:a16="http://schemas.microsoft.com/office/drawing/2014/main" id="{00000000-0008-0000-0B00-0000A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2233" y="28249033"/>
          <a:ext cx="136221" cy="136221"/>
        </a:xfrm>
        <a:prstGeom prst="rect">
          <a:avLst/>
        </a:prstGeom>
      </xdr:spPr>
    </xdr:pic>
    <xdr:clientData fPrintsWithSheet="0"/>
  </xdr:twoCellAnchor>
  <xdr:twoCellAnchor editAs="oneCell">
    <xdr:from>
      <xdr:col>2</xdr:col>
      <xdr:colOff>0</xdr:colOff>
      <xdr:row>184</xdr:row>
      <xdr:rowOff>0</xdr:rowOff>
    </xdr:from>
    <xdr:to>
      <xdr:col>2</xdr:col>
      <xdr:colOff>136221</xdr:colOff>
      <xdr:row>184</xdr:row>
      <xdr:rowOff>136221</xdr:rowOff>
    </xdr:to>
    <xdr:pic>
      <xdr:nvPicPr>
        <xdr:cNvPr id="168" name="Picture 167">
          <a:hlinkClick xmlns:r="http://schemas.openxmlformats.org/officeDocument/2006/relationships" r:id="rId128" tooltip="Go back to annual summary"/>
          <a:extLst>
            <a:ext uri="{FF2B5EF4-FFF2-40B4-BE49-F238E27FC236}">
              <a16:creationId xmlns:a16="http://schemas.microsoft.com/office/drawing/2014/main" id="{00000000-0008-0000-0B00-0000A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2233" y="28409900"/>
          <a:ext cx="136221" cy="136221"/>
        </a:xfrm>
        <a:prstGeom prst="rect">
          <a:avLst/>
        </a:prstGeom>
      </xdr:spPr>
    </xdr:pic>
    <xdr:clientData fPrintsWithSheet="0"/>
  </xdr:twoCellAnchor>
  <xdr:oneCellAnchor>
    <xdr:from>
      <xdr:col>2</xdr:col>
      <xdr:colOff>0</xdr:colOff>
      <xdr:row>183</xdr:row>
      <xdr:rowOff>0</xdr:rowOff>
    </xdr:from>
    <xdr:ext cx="136221" cy="136221"/>
    <xdr:pic>
      <xdr:nvPicPr>
        <xdr:cNvPr id="169" name="Picture 168">
          <a:hlinkClick xmlns:r="http://schemas.openxmlformats.org/officeDocument/2006/relationships" r:id="rId129" tooltip="Go back to annual summary"/>
          <a:extLst>
            <a:ext uri="{FF2B5EF4-FFF2-40B4-BE49-F238E27FC236}">
              <a16:creationId xmlns:a16="http://schemas.microsoft.com/office/drawing/2014/main" id="{00000000-0008-0000-0B00-0000A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2233" y="28570767"/>
          <a:ext cx="136221" cy="136221"/>
        </a:xfrm>
        <a:prstGeom prst="rect">
          <a:avLst/>
        </a:prstGeom>
      </xdr:spPr>
    </xdr:pic>
    <xdr:clientData fPrintsWithSheet="0"/>
  </xdr:oneCellAnchor>
  <xdr:twoCellAnchor editAs="absolute">
    <xdr:from>
      <xdr:col>11</xdr:col>
      <xdr:colOff>381958</xdr:colOff>
      <xdr:row>1</xdr:row>
      <xdr:rowOff>1936</xdr:rowOff>
    </xdr:from>
    <xdr:to>
      <xdr:col>13</xdr:col>
      <xdr:colOff>337076</xdr:colOff>
      <xdr:row>4</xdr:row>
      <xdr:rowOff>34261</xdr:rowOff>
    </xdr:to>
    <xdr:sp macro="[0]!PrintBS_Final" textlink="">
      <xdr:nvSpPr>
        <xdr:cNvPr id="170" name="Rectangle 169">
          <a:hlinkClick xmlns:r="http://schemas.openxmlformats.org/officeDocument/2006/relationships" r:id="rId130" tooltip="Go to Projected Inventory"/>
          <a:extLst>
            <a:ext uri="{FF2B5EF4-FFF2-40B4-BE49-F238E27FC236}">
              <a16:creationId xmlns:a16="http://schemas.microsoft.com/office/drawing/2014/main" id="{00000000-0008-0000-0B00-0000AA000000}"/>
            </a:ext>
          </a:extLst>
        </xdr:cNvPr>
        <xdr:cNvSpPr/>
      </xdr:nvSpPr>
      <xdr:spPr>
        <a:xfrm>
          <a:off x="10296332" y="60551"/>
          <a:ext cx="1554480" cy="543117"/>
        </a:xfrm>
        <a:prstGeom prst="rect">
          <a:avLst/>
        </a:prstGeom>
        <a:solidFill>
          <a:srgbClr val="434953"/>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9. Go</a:t>
          </a:r>
          <a:r>
            <a:rPr lang="en-US" sz="1400" b="1" baseline="0"/>
            <a:t> to </a:t>
          </a:r>
          <a:r>
            <a:rPr lang="en-US" sz="1400" b="1"/>
            <a:t>Projected Inventory</a:t>
          </a:r>
        </a:p>
      </xdr:txBody>
    </xdr:sp>
    <xdr:clientData fPrintsWithSheet="0"/>
  </xdr:twoCellAnchor>
  <xdr:twoCellAnchor editAs="absolute">
    <xdr:from>
      <xdr:col>9</xdr:col>
      <xdr:colOff>398881</xdr:colOff>
      <xdr:row>1</xdr:row>
      <xdr:rowOff>1936</xdr:rowOff>
    </xdr:from>
    <xdr:to>
      <xdr:col>11</xdr:col>
      <xdr:colOff>353998</xdr:colOff>
      <xdr:row>4</xdr:row>
      <xdr:rowOff>34261</xdr:rowOff>
    </xdr:to>
    <xdr:sp macro="[0]!PrintBS_Final" textlink="">
      <xdr:nvSpPr>
        <xdr:cNvPr id="171" name="Rectangle 170">
          <a:hlinkClick xmlns:r="http://schemas.openxmlformats.org/officeDocument/2006/relationships" r:id="rId92" tooltip="Go to Proposed Loans"/>
          <a:extLst>
            <a:ext uri="{FF2B5EF4-FFF2-40B4-BE49-F238E27FC236}">
              <a16:creationId xmlns:a16="http://schemas.microsoft.com/office/drawing/2014/main" id="{00000000-0008-0000-0B00-0000AB000000}"/>
            </a:ext>
          </a:extLst>
        </xdr:cNvPr>
        <xdr:cNvSpPr/>
      </xdr:nvSpPr>
      <xdr:spPr>
        <a:xfrm>
          <a:off x="8713892" y="60551"/>
          <a:ext cx="1554480" cy="543117"/>
        </a:xfrm>
        <a:prstGeom prst="rect">
          <a:avLst/>
        </a:prstGeom>
        <a:solidFill>
          <a:srgbClr val="434953"/>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8. Go</a:t>
          </a:r>
          <a:r>
            <a:rPr lang="en-US" sz="1400" b="1" baseline="0"/>
            <a:t> to </a:t>
          </a:r>
          <a:r>
            <a:rPr lang="en-US" sz="1400" b="1"/>
            <a:t>Proposed Loans</a:t>
          </a:r>
        </a:p>
      </xdr:txBody>
    </xdr:sp>
    <xdr:clientData fPrintsWithSheet="0"/>
  </xdr:twoCellAnchor>
  <xdr:twoCellAnchor editAs="oneCell">
    <xdr:from>
      <xdr:col>2</xdr:col>
      <xdr:colOff>0</xdr:colOff>
      <xdr:row>41</xdr:row>
      <xdr:rowOff>0</xdr:rowOff>
    </xdr:from>
    <xdr:to>
      <xdr:col>2</xdr:col>
      <xdr:colOff>136221</xdr:colOff>
      <xdr:row>41</xdr:row>
      <xdr:rowOff>136221</xdr:rowOff>
    </xdr:to>
    <xdr:pic>
      <xdr:nvPicPr>
        <xdr:cNvPr id="172" name="Picture 171">
          <a:hlinkClick xmlns:r="http://schemas.openxmlformats.org/officeDocument/2006/relationships" r:id="rId114" tooltip="Go back to annual summary"/>
          <a:extLst>
            <a:ext uri="{FF2B5EF4-FFF2-40B4-BE49-F238E27FC236}">
              <a16:creationId xmlns:a16="http://schemas.microsoft.com/office/drawing/2014/main" id="{00000000-0008-0000-0B00-0000A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6667500"/>
          <a:ext cx="136221" cy="136221"/>
        </a:xfrm>
        <a:prstGeom prst="rect">
          <a:avLst/>
        </a:prstGeom>
      </xdr:spPr>
    </xdr:pic>
    <xdr:clientData fPrintsWithSheet="0"/>
  </xdr:twoCellAnchor>
  <xdr:twoCellAnchor editAs="oneCell">
    <xdr:from>
      <xdr:col>2</xdr:col>
      <xdr:colOff>0</xdr:colOff>
      <xdr:row>55</xdr:row>
      <xdr:rowOff>0</xdr:rowOff>
    </xdr:from>
    <xdr:to>
      <xdr:col>2</xdr:col>
      <xdr:colOff>136221</xdr:colOff>
      <xdr:row>55</xdr:row>
      <xdr:rowOff>136221</xdr:rowOff>
    </xdr:to>
    <xdr:pic>
      <xdr:nvPicPr>
        <xdr:cNvPr id="173" name="Picture 172">
          <a:hlinkClick xmlns:r="http://schemas.openxmlformats.org/officeDocument/2006/relationships" r:id="rId19" tooltip="Go back to annual summary"/>
          <a:extLst>
            <a:ext uri="{FF2B5EF4-FFF2-40B4-BE49-F238E27FC236}">
              <a16:creationId xmlns:a16="http://schemas.microsoft.com/office/drawing/2014/main" id="{00000000-0008-0000-0B00-0000A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9315450"/>
          <a:ext cx="136221" cy="136221"/>
        </a:xfrm>
        <a:prstGeom prst="rect">
          <a:avLst/>
        </a:prstGeom>
      </xdr:spPr>
    </xdr:pic>
    <xdr:clientData fPrintsWithSheet="0"/>
  </xdr:twoCellAnchor>
  <mc:AlternateContent xmlns:mc="http://schemas.openxmlformats.org/markup-compatibility/2006">
    <mc:Choice xmlns:a14="http://schemas.microsoft.com/office/drawing/2010/main" Requires="a14">
      <xdr:twoCellAnchor editAs="oneCell">
        <xdr:from>
          <xdr:col>1</xdr:col>
          <xdr:colOff>2895600</xdr:colOff>
          <xdr:row>145</xdr:row>
          <xdr:rowOff>47625</xdr:rowOff>
        </xdr:from>
        <xdr:to>
          <xdr:col>5</xdr:col>
          <xdr:colOff>0</xdr:colOff>
          <xdr:row>147</xdr:row>
          <xdr:rowOff>38100</xdr:rowOff>
        </xdr:to>
        <xdr:sp macro="" textlink="">
          <xdr:nvSpPr>
            <xdr:cNvPr id="244737" name="Drop Down 1" hidden="1">
              <a:extLst>
                <a:ext uri="{63B3BB69-23CF-44E3-9099-C40C66FF867C}">
                  <a14:compatExt spid="_x0000_s244737"/>
                </a:ext>
                <a:ext uri="{FF2B5EF4-FFF2-40B4-BE49-F238E27FC236}">
                  <a16:creationId xmlns:a16="http://schemas.microsoft.com/office/drawing/2014/main" id="{00000000-0008-0000-0B00-000001BC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2905125</xdr:colOff>
          <xdr:row>91</xdr:row>
          <xdr:rowOff>85725</xdr:rowOff>
        </xdr:from>
        <xdr:to>
          <xdr:col>5</xdr:col>
          <xdr:colOff>0</xdr:colOff>
          <xdr:row>93</xdr:row>
          <xdr:rowOff>104775</xdr:rowOff>
        </xdr:to>
        <xdr:sp macro="" textlink="">
          <xdr:nvSpPr>
            <xdr:cNvPr id="244738" name="Drop Down 2" hidden="1">
              <a:extLst>
                <a:ext uri="{63B3BB69-23CF-44E3-9099-C40C66FF867C}">
                  <a14:compatExt spid="_x0000_s244738"/>
                </a:ext>
                <a:ext uri="{FF2B5EF4-FFF2-40B4-BE49-F238E27FC236}">
                  <a16:creationId xmlns:a16="http://schemas.microsoft.com/office/drawing/2014/main" id="{00000000-0008-0000-0B00-000002BC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editAs="oneCell">
    <xdr:from>
      <xdr:col>1</xdr:col>
      <xdr:colOff>29633</xdr:colOff>
      <xdr:row>4</xdr:row>
      <xdr:rowOff>190496</xdr:rowOff>
    </xdr:from>
    <xdr:to>
      <xdr:col>1</xdr:col>
      <xdr:colOff>1168400</xdr:colOff>
      <xdr:row>6</xdr:row>
      <xdr:rowOff>29628</xdr:rowOff>
    </xdr:to>
    <xdr:sp macro="" textlink="">
      <xdr:nvSpPr>
        <xdr:cNvPr id="159" name="Rectangle 158">
          <a:hlinkClick xmlns:r="http://schemas.openxmlformats.org/officeDocument/2006/relationships" r:id="rId131" tooltip="Click to go to the final cash flow plan to print the summarized cash flow plan."/>
          <a:extLst>
            <a:ext uri="{FF2B5EF4-FFF2-40B4-BE49-F238E27FC236}">
              <a16:creationId xmlns:a16="http://schemas.microsoft.com/office/drawing/2014/main" id="{00000000-0008-0000-0B00-00009F000000}"/>
            </a:ext>
          </a:extLst>
        </xdr:cNvPr>
        <xdr:cNvSpPr/>
      </xdr:nvSpPr>
      <xdr:spPr>
        <a:xfrm>
          <a:off x="29633" y="863596"/>
          <a:ext cx="1138767" cy="228600"/>
        </a:xfrm>
        <a:prstGeom prst="rect">
          <a:avLst/>
        </a:prstGeom>
        <a:solidFill>
          <a:srgbClr val="4A89DC"/>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t>Jump</a:t>
          </a:r>
          <a:r>
            <a:rPr lang="en-US" sz="1200" b="1" baseline="0"/>
            <a:t> to Ag</a:t>
          </a:r>
          <a:endParaRPr lang="en-US" sz="1200" b="1"/>
        </a:p>
      </xdr:txBody>
    </xdr:sp>
    <xdr:clientData fPrintsWithSheet="0"/>
  </xdr:twoCellAnchor>
  <xdr:twoCellAnchor editAs="oneCell">
    <xdr:from>
      <xdr:col>1</xdr:col>
      <xdr:colOff>1193799</xdr:colOff>
      <xdr:row>5</xdr:row>
      <xdr:rowOff>4233</xdr:rowOff>
    </xdr:from>
    <xdr:to>
      <xdr:col>1</xdr:col>
      <xdr:colOff>2656839</xdr:colOff>
      <xdr:row>7</xdr:row>
      <xdr:rowOff>2115</xdr:rowOff>
    </xdr:to>
    <xdr:sp macro="" textlink="">
      <xdr:nvSpPr>
        <xdr:cNvPr id="174" name="Rectangle 173">
          <a:hlinkClick xmlns:r="http://schemas.openxmlformats.org/officeDocument/2006/relationships" r:id="rId132" tooltip="Click to go to the final cash flow plan to print the summarized cash flow plan."/>
          <a:extLst>
            <a:ext uri="{FF2B5EF4-FFF2-40B4-BE49-F238E27FC236}">
              <a16:creationId xmlns:a16="http://schemas.microsoft.com/office/drawing/2014/main" id="{00000000-0008-0000-0B00-0000AE000000}"/>
            </a:ext>
          </a:extLst>
        </xdr:cNvPr>
        <xdr:cNvSpPr/>
      </xdr:nvSpPr>
      <xdr:spPr>
        <a:xfrm>
          <a:off x="1193799" y="867833"/>
          <a:ext cx="1463040" cy="228600"/>
        </a:xfrm>
        <a:prstGeom prst="rect">
          <a:avLst/>
        </a:prstGeom>
        <a:solidFill>
          <a:srgbClr val="4A89DC"/>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t>Jump</a:t>
          </a:r>
          <a:r>
            <a:rPr lang="en-US" sz="1200" b="1" baseline="0"/>
            <a:t> to Direct Mkt</a:t>
          </a:r>
          <a:endParaRPr lang="en-US" sz="1200" b="1"/>
        </a:p>
      </xdr:txBody>
    </xdr:sp>
    <xdr:clientData fPrintsWithSheet="0"/>
  </xdr:twoCellAnchor>
  <xdr:twoCellAnchor editAs="oneCell">
    <xdr:from>
      <xdr:col>1</xdr:col>
      <xdr:colOff>2692382</xdr:colOff>
      <xdr:row>5</xdr:row>
      <xdr:rowOff>0</xdr:rowOff>
    </xdr:from>
    <xdr:to>
      <xdr:col>3</xdr:col>
      <xdr:colOff>619742</xdr:colOff>
      <xdr:row>6</xdr:row>
      <xdr:rowOff>29632</xdr:rowOff>
    </xdr:to>
    <xdr:sp macro="" textlink="">
      <xdr:nvSpPr>
        <xdr:cNvPr id="175" name="Rectangle 174">
          <a:hlinkClick xmlns:r="http://schemas.openxmlformats.org/officeDocument/2006/relationships" r:id="rId133" tooltip="Click to go to the final cash flow plan to print the summarized cash flow plan."/>
          <a:extLst>
            <a:ext uri="{FF2B5EF4-FFF2-40B4-BE49-F238E27FC236}">
              <a16:creationId xmlns:a16="http://schemas.microsoft.com/office/drawing/2014/main" id="{00000000-0008-0000-0B00-0000AF000000}"/>
            </a:ext>
          </a:extLst>
        </xdr:cNvPr>
        <xdr:cNvSpPr/>
      </xdr:nvSpPr>
      <xdr:spPr>
        <a:xfrm>
          <a:off x="2692382" y="863600"/>
          <a:ext cx="1280160" cy="228600"/>
        </a:xfrm>
        <a:prstGeom prst="rect">
          <a:avLst/>
        </a:prstGeom>
        <a:solidFill>
          <a:srgbClr val="4A89DC"/>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t>Jump</a:t>
          </a:r>
          <a:r>
            <a:rPr lang="en-US" sz="1200" b="1" baseline="0"/>
            <a:t> to Personal</a:t>
          </a:r>
          <a:endParaRPr lang="en-US" sz="1200" b="1"/>
        </a:p>
      </xdr:txBody>
    </xdr:sp>
    <xdr:clientData fPrintsWithSheet="0"/>
  </xdr:twoCellAnchor>
  <xdr:twoCellAnchor editAs="oneCell">
    <xdr:from>
      <xdr:col>2</xdr:col>
      <xdr:colOff>0</xdr:colOff>
      <xdr:row>71</xdr:row>
      <xdr:rowOff>0</xdr:rowOff>
    </xdr:from>
    <xdr:to>
      <xdr:col>2</xdr:col>
      <xdr:colOff>136221</xdr:colOff>
      <xdr:row>71</xdr:row>
      <xdr:rowOff>136221</xdr:rowOff>
    </xdr:to>
    <xdr:pic>
      <xdr:nvPicPr>
        <xdr:cNvPr id="178" name="Picture 177">
          <a:hlinkClick xmlns:r="http://schemas.openxmlformats.org/officeDocument/2006/relationships" r:id="rId29" tooltip="Go back to annual summary"/>
          <a:extLst>
            <a:ext uri="{FF2B5EF4-FFF2-40B4-BE49-F238E27FC236}">
              <a16:creationId xmlns:a16="http://schemas.microsoft.com/office/drawing/2014/main" id="{00000000-0008-0000-0B00-0000B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135086" y="3020786"/>
          <a:ext cx="136221" cy="136221"/>
        </a:xfrm>
        <a:prstGeom prst="rect">
          <a:avLst/>
        </a:prstGeom>
      </xdr:spPr>
    </xdr:pic>
    <xdr:clientData fPrintsWithSheet="0"/>
  </xdr:twoCellAnchor>
  <xdr:twoCellAnchor editAs="oneCell">
    <xdr:from>
      <xdr:col>2</xdr:col>
      <xdr:colOff>0</xdr:colOff>
      <xdr:row>75</xdr:row>
      <xdr:rowOff>0</xdr:rowOff>
    </xdr:from>
    <xdr:to>
      <xdr:col>2</xdr:col>
      <xdr:colOff>136221</xdr:colOff>
      <xdr:row>75</xdr:row>
      <xdr:rowOff>136221</xdr:rowOff>
    </xdr:to>
    <xdr:pic>
      <xdr:nvPicPr>
        <xdr:cNvPr id="179" name="Picture 178">
          <a:hlinkClick xmlns:r="http://schemas.openxmlformats.org/officeDocument/2006/relationships" r:id="rId29" tooltip="Go back to annual summary"/>
          <a:extLst>
            <a:ext uri="{FF2B5EF4-FFF2-40B4-BE49-F238E27FC236}">
              <a16:creationId xmlns:a16="http://schemas.microsoft.com/office/drawing/2014/main" id="{00000000-0008-0000-0B00-0000B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135923" y="3202912"/>
          <a:ext cx="136221" cy="136221"/>
        </a:xfrm>
        <a:prstGeom prst="rect">
          <a:avLst/>
        </a:prstGeom>
      </xdr:spPr>
    </xdr:pic>
    <xdr:clientData fPrintsWithSheet="0"/>
  </xdr:twoCellAnchor>
  <xdr:twoCellAnchor editAs="oneCell">
    <xdr:from>
      <xdr:col>2</xdr:col>
      <xdr:colOff>0</xdr:colOff>
      <xdr:row>76</xdr:row>
      <xdr:rowOff>0</xdr:rowOff>
    </xdr:from>
    <xdr:to>
      <xdr:col>2</xdr:col>
      <xdr:colOff>136221</xdr:colOff>
      <xdr:row>76</xdr:row>
      <xdr:rowOff>136221</xdr:rowOff>
    </xdr:to>
    <xdr:pic>
      <xdr:nvPicPr>
        <xdr:cNvPr id="180" name="Picture 179">
          <a:hlinkClick xmlns:r="http://schemas.openxmlformats.org/officeDocument/2006/relationships" r:id="rId69" tooltip="Go back to annual summary"/>
          <a:extLst>
            <a:ext uri="{FF2B5EF4-FFF2-40B4-BE49-F238E27FC236}">
              <a16:creationId xmlns:a16="http://schemas.microsoft.com/office/drawing/2014/main" id="{00000000-0008-0000-0B00-0000B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135923" y="9177495"/>
          <a:ext cx="136221" cy="136221"/>
        </a:xfrm>
        <a:prstGeom prst="rect">
          <a:avLst/>
        </a:prstGeom>
      </xdr:spPr>
    </xdr:pic>
    <xdr:clientData fPrintsWithSheet="0"/>
  </xdr:twoCellAnchor>
  <xdr:twoCellAnchor editAs="oneCell">
    <xdr:from>
      <xdr:col>2</xdr:col>
      <xdr:colOff>0</xdr:colOff>
      <xdr:row>57</xdr:row>
      <xdr:rowOff>0</xdr:rowOff>
    </xdr:from>
    <xdr:to>
      <xdr:col>2</xdr:col>
      <xdr:colOff>136221</xdr:colOff>
      <xdr:row>57</xdr:row>
      <xdr:rowOff>136221</xdr:rowOff>
    </xdr:to>
    <xdr:pic>
      <xdr:nvPicPr>
        <xdr:cNvPr id="181" name="Picture 180">
          <a:hlinkClick xmlns:r="http://schemas.openxmlformats.org/officeDocument/2006/relationships" r:id="rId134" tooltip="Go back to annual summary"/>
          <a:extLst>
            <a:ext uri="{FF2B5EF4-FFF2-40B4-BE49-F238E27FC236}">
              <a16:creationId xmlns:a16="http://schemas.microsoft.com/office/drawing/2014/main" id="{00000000-0008-0000-0B00-0000B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135923" y="10132088"/>
          <a:ext cx="136221" cy="136221"/>
        </a:xfrm>
        <a:prstGeom prst="rect">
          <a:avLst/>
        </a:prstGeom>
      </xdr:spPr>
    </xdr:pic>
    <xdr:clientData fPrintsWithSheet="0"/>
  </xdr:twoCellAnchor>
  <xdr:twoCellAnchor editAs="oneCell">
    <xdr:from>
      <xdr:col>2</xdr:col>
      <xdr:colOff>0</xdr:colOff>
      <xdr:row>58</xdr:row>
      <xdr:rowOff>0</xdr:rowOff>
    </xdr:from>
    <xdr:to>
      <xdr:col>2</xdr:col>
      <xdr:colOff>136221</xdr:colOff>
      <xdr:row>58</xdr:row>
      <xdr:rowOff>136221</xdr:rowOff>
    </xdr:to>
    <xdr:pic>
      <xdr:nvPicPr>
        <xdr:cNvPr id="182" name="Picture 181">
          <a:hlinkClick xmlns:r="http://schemas.openxmlformats.org/officeDocument/2006/relationships" r:id="rId135" tooltip="Go back to annual summary"/>
          <a:extLst>
            <a:ext uri="{FF2B5EF4-FFF2-40B4-BE49-F238E27FC236}">
              <a16:creationId xmlns:a16="http://schemas.microsoft.com/office/drawing/2014/main" id="{00000000-0008-0000-0B00-0000B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135923" y="10291187"/>
          <a:ext cx="136221" cy="136221"/>
        </a:xfrm>
        <a:prstGeom prst="rect">
          <a:avLst/>
        </a:prstGeom>
      </xdr:spPr>
    </xdr:pic>
    <xdr:clientData fPrintsWithSheet="0"/>
  </xdr:twoCellAnchor>
  <xdr:twoCellAnchor editAs="oneCell">
    <xdr:from>
      <xdr:col>5</xdr:col>
      <xdr:colOff>113045</xdr:colOff>
      <xdr:row>1</xdr:row>
      <xdr:rowOff>1936</xdr:rowOff>
    </xdr:from>
    <xdr:to>
      <xdr:col>7</xdr:col>
      <xdr:colOff>159602</xdr:colOff>
      <xdr:row>4</xdr:row>
      <xdr:rowOff>37273</xdr:rowOff>
    </xdr:to>
    <xdr:sp macro="[0]!PrintBS_Final" textlink="">
      <xdr:nvSpPr>
        <xdr:cNvPr id="183" name="Rectangle 182">
          <a:hlinkClick xmlns:r="http://schemas.openxmlformats.org/officeDocument/2006/relationships" r:id="rId136" tooltip="Go to General Info"/>
          <a:extLst>
            <a:ext uri="{FF2B5EF4-FFF2-40B4-BE49-F238E27FC236}">
              <a16:creationId xmlns:a16="http://schemas.microsoft.com/office/drawing/2014/main" id="{00000000-0008-0000-0B00-0000B7000000}"/>
            </a:ext>
          </a:extLst>
        </xdr:cNvPr>
        <xdr:cNvSpPr/>
      </xdr:nvSpPr>
      <xdr:spPr>
        <a:xfrm>
          <a:off x="5229330" y="60551"/>
          <a:ext cx="1645920" cy="546129"/>
        </a:xfrm>
        <a:prstGeom prst="rect">
          <a:avLst/>
        </a:prstGeom>
        <a:solidFill>
          <a:srgbClr val="FF0000"/>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Go to Schedule</a:t>
          </a:r>
          <a:br>
            <a:rPr lang="en-US" sz="1400" b="1"/>
          </a:br>
          <a:r>
            <a:rPr lang="en-US" sz="1400" b="1"/>
            <a:t> F Analysis</a:t>
          </a:r>
        </a:p>
      </xdr:txBody>
    </xdr:sp>
    <xdr:clientData fPrintsWithSheet="0"/>
  </xdr:twoCellAnchor>
  <xdr:twoCellAnchor editAs="oneCell">
    <xdr:from>
      <xdr:col>16</xdr:col>
      <xdr:colOff>488054</xdr:colOff>
      <xdr:row>1</xdr:row>
      <xdr:rowOff>1099</xdr:rowOff>
    </xdr:from>
    <xdr:to>
      <xdr:col>19</xdr:col>
      <xdr:colOff>523693</xdr:colOff>
      <xdr:row>4</xdr:row>
      <xdr:rowOff>32563</xdr:rowOff>
    </xdr:to>
    <xdr:sp macro="[0]!PrintBS_Final" textlink="">
      <xdr:nvSpPr>
        <xdr:cNvPr id="185" name="Rectangle 184">
          <a:hlinkClick xmlns:r="http://schemas.openxmlformats.org/officeDocument/2006/relationships" r:id="rId137" tooltip="Go to Online Help Video"/>
          <a:extLst>
            <a:ext uri="{FF2B5EF4-FFF2-40B4-BE49-F238E27FC236}">
              <a16:creationId xmlns:a16="http://schemas.microsoft.com/office/drawing/2014/main" id="{00000000-0008-0000-0B00-0000B9000000}"/>
            </a:ext>
          </a:extLst>
        </xdr:cNvPr>
        <xdr:cNvSpPr/>
      </xdr:nvSpPr>
      <xdr:spPr>
        <a:xfrm>
          <a:off x="14400834" y="160198"/>
          <a:ext cx="2451431" cy="542255"/>
        </a:xfrm>
        <a:prstGeom prst="rect">
          <a:avLst/>
        </a:prstGeom>
        <a:solidFill>
          <a:srgbClr val="F37321"/>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View the</a:t>
          </a:r>
          <a:r>
            <a:rPr lang="en-US" sz="1400" b="1" baseline="0"/>
            <a:t> Income Statement</a:t>
          </a:r>
        </a:p>
        <a:p>
          <a:pPr algn="ctr"/>
          <a:r>
            <a:rPr lang="en-US" sz="1400" b="1" baseline="0"/>
            <a:t>help video (opens browser)</a:t>
          </a:r>
          <a:endParaRPr lang="en-US" sz="1400" b="1"/>
        </a:p>
      </xdr:txBody>
    </xdr:sp>
    <xdr:clientData fPrintsWithSheet="0"/>
  </xdr:twoCellAnchor>
  <xdr:twoCellAnchor editAs="oneCell">
    <xdr:from>
      <xdr:col>2</xdr:col>
      <xdr:colOff>0</xdr:colOff>
      <xdr:row>155</xdr:row>
      <xdr:rowOff>0</xdr:rowOff>
    </xdr:from>
    <xdr:to>
      <xdr:col>2</xdr:col>
      <xdr:colOff>136221</xdr:colOff>
      <xdr:row>155</xdr:row>
      <xdr:rowOff>136221</xdr:rowOff>
    </xdr:to>
    <xdr:pic>
      <xdr:nvPicPr>
        <xdr:cNvPr id="176" name="Picture 175">
          <a:hlinkClick xmlns:r="http://schemas.openxmlformats.org/officeDocument/2006/relationships" r:id="rId138" tooltip="Go back to annual summary"/>
          <a:extLst>
            <a:ext uri="{FF2B5EF4-FFF2-40B4-BE49-F238E27FC236}">
              <a16:creationId xmlns:a16="http://schemas.microsoft.com/office/drawing/2014/main" id="{00000000-0008-0000-0B00-0000B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135923" y="25610736"/>
          <a:ext cx="136221" cy="136221"/>
        </a:xfrm>
        <a:prstGeom prst="rect">
          <a:avLst/>
        </a:prstGeom>
      </xdr:spPr>
    </xdr:pic>
    <xdr:clientData fPrintsWithSheet="0"/>
  </xdr:twoCellAnchor>
  <xdr:oneCellAnchor>
    <xdr:from>
      <xdr:col>2</xdr:col>
      <xdr:colOff>0</xdr:colOff>
      <xdr:row>82</xdr:row>
      <xdr:rowOff>0</xdr:rowOff>
    </xdr:from>
    <xdr:ext cx="136221" cy="136221"/>
    <xdr:pic>
      <xdr:nvPicPr>
        <xdr:cNvPr id="177" name="Picture 176">
          <a:hlinkClick xmlns:r="http://schemas.openxmlformats.org/officeDocument/2006/relationships" r:id="rId28" tooltip="Go back to annual summary"/>
          <a:extLst>
            <a:ext uri="{FF2B5EF4-FFF2-40B4-BE49-F238E27FC236}">
              <a16:creationId xmlns:a16="http://schemas.microsoft.com/office/drawing/2014/main" id="{00000000-0008-0000-0B00-0000B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952750" y="12712212"/>
          <a:ext cx="136221" cy="136221"/>
        </a:xfrm>
        <a:prstGeom prst="rect">
          <a:avLst/>
        </a:prstGeom>
      </xdr:spPr>
    </xdr:pic>
    <xdr:clientData fPrintsWithSheet="0"/>
  </xdr:oneCellAnchor>
  <xdr:twoCellAnchor editAs="oneCell">
    <xdr:from>
      <xdr:col>2</xdr:col>
      <xdr:colOff>0</xdr:colOff>
      <xdr:row>215</xdr:row>
      <xdr:rowOff>0</xdr:rowOff>
    </xdr:from>
    <xdr:to>
      <xdr:col>2</xdr:col>
      <xdr:colOff>136221</xdr:colOff>
      <xdr:row>215</xdr:row>
      <xdr:rowOff>136221</xdr:rowOff>
    </xdr:to>
    <xdr:pic>
      <xdr:nvPicPr>
        <xdr:cNvPr id="184" name="Picture 183">
          <a:hlinkClick xmlns:r="http://schemas.openxmlformats.org/officeDocument/2006/relationships" r:id="rId28" tooltip="Go back to annual summary"/>
          <a:extLst>
            <a:ext uri="{FF2B5EF4-FFF2-40B4-BE49-F238E27FC236}">
              <a16:creationId xmlns:a16="http://schemas.microsoft.com/office/drawing/2014/main" id="{00000000-0008-0000-0B00-0000B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952750" y="13019942"/>
          <a:ext cx="136221" cy="136221"/>
        </a:xfrm>
        <a:prstGeom prst="rect">
          <a:avLst/>
        </a:prstGeom>
      </xdr:spPr>
    </xdr:pic>
    <xdr:clientData fPrintsWithSheet="0"/>
  </xdr:twoCellAnchor>
  <xdr:twoCellAnchor editAs="oneCell">
    <xdr:from>
      <xdr:col>2</xdr:col>
      <xdr:colOff>0</xdr:colOff>
      <xdr:row>74</xdr:row>
      <xdr:rowOff>0</xdr:rowOff>
    </xdr:from>
    <xdr:to>
      <xdr:col>2</xdr:col>
      <xdr:colOff>136221</xdr:colOff>
      <xdr:row>74</xdr:row>
      <xdr:rowOff>136221</xdr:rowOff>
    </xdr:to>
    <xdr:pic>
      <xdr:nvPicPr>
        <xdr:cNvPr id="187" name="Picture 186">
          <a:hlinkClick xmlns:r="http://schemas.openxmlformats.org/officeDocument/2006/relationships" r:id="rId29" tooltip="Go back to annual summary"/>
          <a:extLst>
            <a:ext uri="{FF2B5EF4-FFF2-40B4-BE49-F238E27FC236}">
              <a16:creationId xmlns:a16="http://schemas.microsoft.com/office/drawing/2014/main" id="{00000000-0008-0000-0B00-0000B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952750" y="10866438"/>
          <a:ext cx="136221" cy="136221"/>
        </a:xfrm>
        <a:prstGeom prst="rect">
          <a:avLst/>
        </a:prstGeom>
      </xdr:spPr>
    </xdr:pic>
    <xdr:clientData fPrintsWithSheet="0"/>
  </xdr:twoCellAnchor>
  <xdr:twoCellAnchor editAs="oneCell">
    <xdr:from>
      <xdr:col>2</xdr:col>
      <xdr:colOff>0</xdr:colOff>
      <xdr:row>73</xdr:row>
      <xdr:rowOff>0</xdr:rowOff>
    </xdr:from>
    <xdr:to>
      <xdr:col>2</xdr:col>
      <xdr:colOff>136221</xdr:colOff>
      <xdr:row>73</xdr:row>
      <xdr:rowOff>136221</xdr:rowOff>
    </xdr:to>
    <xdr:pic>
      <xdr:nvPicPr>
        <xdr:cNvPr id="188" name="Picture 187">
          <a:hlinkClick xmlns:r="http://schemas.openxmlformats.org/officeDocument/2006/relationships" r:id="rId29" tooltip="Go back to annual summary"/>
          <a:extLst>
            <a:ext uri="{FF2B5EF4-FFF2-40B4-BE49-F238E27FC236}">
              <a16:creationId xmlns:a16="http://schemas.microsoft.com/office/drawing/2014/main" id="{00000000-0008-0000-0B00-0000B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952750" y="11017250"/>
          <a:ext cx="136221" cy="136221"/>
        </a:xfrm>
        <a:prstGeom prst="rect">
          <a:avLst/>
        </a:prstGeom>
      </xdr:spPr>
    </xdr:pic>
    <xdr:clientData fPrintsWithSheet="0"/>
  </xdr:twoCellAnchor>
  <xdr:twoCellAnchor editAs="oneCell">
    <xdr:from>
      <xdr:col>2</xdr:col>
      <xdr:colOff>0</xdr:colOff>
      <xdr:row>229</xdr:row>
      <xdr:rowOff>0</xdr:rowOff>
    </xdr:from>
    <xdr:to>
      <xdr:col>2</xdr:col>
      <xdr:colOff>137160</xdr:colOff>
      <xdr:row>229</xdr:row>
      <xdr:rowOff>137160</xdr:rowOff>
    </xdr:to>
    <xdr:pic>
      <xdr:nvPicPr>
        <xdr:cNvPr id="189" name="Picture 188">
          <a:hlinkClick xmlns:r="http://schemas.openxmlformats.org/officeDocument/2006/relationships" r:id="rId9" tooltip="Go back to annual summary"/>
          <a:extLst>
            <a:ext uri="{FF2B5EF4-FFF2-40B4-BE49-F238E27FC236}">
              <a16:creationId xmlns:a16="http://schemas.microsoft.com/office/drawing/2014/main" id="{00000000-0008-0000-0B00-0000B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952750" y="34028063"/>
          <a:ext cx="137160" cy="137160"/>
        </a:xfrm>
        <a:prstGeom prst="rect">
          <a:avLst/>
        </a:prstGeom>
      </xdr:spPr>
    </xdr:pic>
    <xdr:clientData fPrintsWithSheet="0"/>
  </xdr:twoCellAnchor>
  <xdr:twoCellAnchor editAs="oneCell">
    <xdr:from>
      <xdr:col>2</xdr:col>
      <xdr:colOff>0</xdr:colOff>
      <xdr:row>231</xdr:row>
      <xdr:rowOff>0</xdr:rowOff>
    </xdr:from>
    <xdr:to>
      <xdr:col>2</xdr:col>
      <xdr:colOff>137160</xdr:colOff>
      <xdr:row>231</xdr:row>
      <xdr:rowOff>137160</xdr:rowOff>
    </xdr:to>
    <xdr:pic>
      <xdr:nvPicPr>
        <xdr:cNvPr id="191" name="Picture 190">
          <a:hlinkClick xmlns:r="http://schemas.openxmlformats.org/officeDocument/2006/relationships" r:id="rId9" tooltip="Go back to annual summary"/>
          <a:extLst>
            <a:ext uri="{FF2B5EF4-FFF2-40B4-BE49-F238E27FC236}">
              <a16:creationId xmlns:a16="http://schemas.microsoft.com/office/drawing/2014/main" id="{00000000-0008-0000-0B00-0000B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952750" y="34186813"/>
          <a:ext cx="137160" cy="137160"/>
        </a:xfrm>
        <a:prstGeom prst="rect">
          <a:avLst/>
        </a:prstGeom>
      </xdr:spPr>
    </xdr:pic>
    <xdr:clientData fPrintsWithSheet="0"/>
  </xdr:twoCellAnchor>
  <xdr:twoCellAnchor editAs="oneCell">
    <xdr:from>
      <xdr:col>2</xdr:col>
      <xdr:colOff>0</xdr:colOff>
      <xdr:row>235</xdr:row>
      <xdr:rowOff>0</xdr:rowOff>
    </xdr:from>
    <xdr:to>
      <xdr:col>2</xdr:col>
      <xdr:colOff>137160</xdr:colOff>
      <xdr:row>235</xdr:row>
      <xdr:rowOff>137160</xdr:rowOff>
    </xdr:to>
    <xdr:pic>
      <xdr:nvPicPr>
        <xdr:cNvPr id="192" name="Picture 191">
          <a:hlinkClick xmlns:r="http://schemas.openxmlformats.org/officeDocument/2006/relationships" r:id="rId100" tooltip="Go back to annual summary"/>
          <a:extLst>
            <a:ext uri="{FF2B5EF4-FFF2-40B4-BE49-F238E27FC236}">
              <a16:creationId xmlns:a16="http://schemas.microsoft.com/office/drawing/2014/main" id="{00000000-0008-0000-0B00-0000C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952750" y="34980563"/>
          <a:ext cx="137160" cy="137160"/>
        </a:xfrm>
        <a:prstGeom prst="rect">
          <a:avLst/>
        </a:prstGeom>
      </xdr:spPr>
    </xdr:pic>
    <xdr:clientData fPrintsWithSheet="0"/>
  </xdr:twoCellAnchor>
</xdr:wsDr>
</file>

<file path=xl/drawings/drawing13.xml><?xml version="1.0" encoding="utf-8"?>
<xdr:wsDr xmlns:xdr="http://schemas.openxmlformats.org/drawingml/2006/spreadsheetDrawing" xmlns:a="http://schemas.openxmlformats.org/drawingml/2006/main">
  <xdr:twoCellAnchor editAs="absolute">
    <xdr:from>
      <xdr:col>8</xdr:col>
      <xdr:colOff>399500</xdr:colOff>
      <xdr:row>2</xdr:row>
      <xdr:rowOff>23282</xdr:rowOff>
    </xdr:from>
    <xdr:to>
      <xdr:col>10</xdr:col>
      <xdr:colOff>549791</xdr:colOff>
      <xdr:row>3</xdr:row>
      <xdr:rowOff>257597</xdr:rowOff>
    </xdr:to>
    <xdr:sp macro="[0]!PrintBS_Final" textlink="">
      <xdr:nvSpPr>
        <xdr:cNvPr id="3" name="Rectangle 2">
          <a:hlinkClick xmlns:r="http://schemas.openxmlformats.org/officeDocument/2006/relationships" r:id="rId1" tooltip="Go to General Info"/>
          <a:extLst>
            <a:ext uri="{FF2B5EF4-FFF2-40B4-BE49-F238E27FC236}">
              <a16:creationId xmlns:a16="http://schemas.microsoft.com/office/drawing/2014/main" id="{00000000-0008-0000-0C00-000003000000}"/>
            </a:ext>
          </a:extLst>
        </xdr:cNvPr>
        <xdr:cNvSpPr/>
      </xdr:nvSpPr>
      <xdr:spPr>
        <a:xfrm>
          <a:off x="7143200" y="649815"/>
          <a:ext cx="1437224" cy="547582"/>
        </a:xfrm>
        <a:prstGeom prst="rect">
          <a:avLst/>
        </a:prstGeom>
        <a:solidFill>
          <a:srgbClr val="F37321"/>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Go</a:t>
          </a:r>
          <a:r>
            <a:rPr lang="en-US" sz="1400" b="1" baseline="0"/>
            <a:t> to Gen Info</a:t>
          </a:r>
          <a:endParaRPr lang="en-US" sz="1400" b="1"/>
        </a:p>
      </xdr:txBody>
    </xdr:sp>
    <xdr:clientData fPrintsWithSheet="0"/>
  </xdr:twoCellAnchor>
  <xdr:twoCellAnchor editAs="absolute">
    <xdr:from>
      <xdr:col>1</xdr:col>
      <xdr:colOff>4755</xdr:colOff>
      <xdr:row>2</xdr:row>
      <xdr:rowOff>38101</xdr:rowOff>
    </xdr:from>
    <xdr:to>
      <xdr:col>2</xdr:col>
      <xdr:colOff>735279</xdr:colOff>
      <xdr:row>3</xdr:row>
      <xdr:rowOff>272416</xdr:rowOff>
    </xdr:to>
    <xdr:sp macro="[0]!PrintBS_Final" textlink="">
      <xdr:nvSpPr>
        <xdr:cNvPr id="4" name="Rectangle 3">
          <a:hlinkClick xmlns:r="http://schemas.openxmlformats.org/officeDocument/2006/relationships" r:id="rId2" tooltip="Go to Business Cash Flow Data Entry"/>
          <a:extLst>
            <a:ext uri="{FF2B5EF4-FFF2-40B4-BE49-F238E27FC236}">
              <a16:creationId xmlns:a16="http://schemas.microsoft.com/office/drawing/2014/main" id="{00000000-0008-0000-0C00-000004000000}"/>
            </a:ext>
          </a:extLst>
        </xdr:cNvPr>
        <xdr:cNvSpPr/>
      </xdr:nvSpPr>
      <xdr:spPr>
        <a:xfrm>
          <a:off x="204780" y="666751"/>
          <a:ext cx="2139696" cy="548640"/>
        </a:xfrm>
        <a:prstGeom prst="rect">
          <a:avLst/>
        </a:prstGeom>
        <a:solidFill>
          <a:srgbClr val="4A89DC"/>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Go to Ag</a:t>
          </a:r>
        </a:p>
        <a:p>
          <a:pPr algn="ctr"/>
          <a:r>
            <a:rPr lang="en-US" sz="1400" b="1"/>
            <a:t>Cash Flow Entry</a:t>
          </a:r>
        </a:p>
      </xdr:txBody>
    </xdr:sp>
    <xdr:clientData fPrintsWithSheet="0"/>
  </xdr:twoCellAnchor>
  <xdr:twoCellAnchor editAs="absolute">
    <xdr:from>
      <xdr:col>2</xdr:col>
      <xdr:colOff>810144</xdr:colOff>
      <xdr:row>2</xdr:row>
      <xdr:rowOff>38101</xdr:rowOff>
    </xdr:from>
    <xdr:to>
      <xdr:col>5</xdr:col>
      <xdr:colOff>1854</xdr:colOff>
      <xdr:row>3</xdr:row>
      <xdr:rowOff>272416</xdr:rowOff>
    </xdr:to>
    <xdr:sp macro="[0]!PrintBS_Final" textlink="">
      <xdr:nvSpPr>
        <xdr:cNvPr id="5" name="Rectangle 4">
          <a:hlinkClick xmlns:r="http://schemas.openxmlformats.org/officeDocument/2006/relationships" r:id="rId3" tooltip="Go to Direct Marketing Cash Flow Entry"/>
          <a:extLst>
            <a:ext uri="{FF2B5EF4-FFF2-40B4-BE49-F238E27FC236}">
              <a16:creationId xmlns:a16="http://schemas.microsoft.com/office/drawing/2014/main" id="{00000000-0008-0000-0C00-000005000000}"/>
            </a:ext>
          </a:extLst>
        </xdr:cNvPr>
        <xdr:cNvSpPr/>
      </xdr:nvSpPr>
      <xdr:spPr>
        <a:xfrm>
          <a:off x="2419341" y="666751"/>
          <a:ext cx="2268284" cy="548640"/>
        </a:xfrm>
        <a:prstGeom prst="rect">
          <a:avLst/>
        </a:prstGeom>
        <a:solidFill>
          <a:srgbClr val="4A89DC"/>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solidFill>
                <a:schemeClr val="lt1"/>
              </a:solidFill>
              <a:effectLst/>
              <a:latin typeface="+mn-lt"/>
              <a:ea typeface="+mn-ea"/>
              <a:cs typeface="+mn-cs"/>
            </a:rPr>
            <a:t>Go to Direct Marketing Cash Flow Entry</a:t>
          </a:r>
          <a:endParaRPr lang="en-US" sz="1800">
            <a:effectLst/>
          </a:endParaRPr>
        </a:p>
      </xdr:txBody>
    </xdr:sp>
    <xdr:clientData fPrintsWithSheet="0"/>
  </xdr:twoCellAnchor>
  <xdr:twoCellAnchor editAs="absolute">
    <xdr:from>
      <xdr:col>5</xdr:col>
      <xdr:colOff>47629</xdr:colOff>
      <xdr:row>2</xdr:row>
      <xdr:rowOff>38101</xdr:rowOff>
    </xdr:from>
    <xdr:to>
      <xdr:col>8</xdr:col>
      <xdr:colOff>168025</xdr:colOff>
      <xdr:row>3</xdr:row>
      <xdr:rowOff>272416</xdr:rowOff>
    </xdr:to>
    <xdr:sp macro="[0]!PrintBS_Final" textlink="">
      <xdr:nvSpPr>
        <xdr:cNvPr id="6" name="Rectangle 5">
          <a:hlinkClick xmlns:r="http://schemas.openxmlformats.org/officeDocument/2006/relationships" r:id="rId4" tooltip="Go to Personal Cash Flow Entry"/>
          <a:extLst>
            <a:ext uri="{FF2B5EF4-FFF2-40B4-BE49-F238E27FC236}">
              <a16:creationId xmlns:a16="http://schemas.microsoft.com/office/drawing/2014/main" id="{00000000-0008-0000-0C00-000006000000}"/>
            </a:ext>
          </a:extLst>
        </xdr:cNvPr>
        <xdr:cNvSpPr/>
      </xdr:nvSpPr>
      <xdr:spPr>
        <a:xfrm>
          <a:off x="4748217" y="666751"/>
          <a:ext cx="2139696" cy="548640"/>
        </a:xfrm>
        <a:prstGeom prst="rect">
          <a:avLst/>
        </a:prstGeom>
        <a:solidFill>
          <a:srgbClr val="4A89DC"/>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solidFill>
                <a:schemeClr val="lt1"/>
              </a:solidFill>
              <a:effectLst/>
              <a:latin typeface="+mn-lt"/>
              <a:ea typeface="+mn-ea"/>
              <a:cs typeface="+mn-cs"/>
            </a:rPr>
            <a:t>Go to Personal</a:t>
          </a:r>
        </a:p>
        <a:p>
          <a:pPr algn="ctr"/>
          <a:r>
            <a:rPr lang="en-US" sz="1400" b="1">
              <a:solidFill>
                <a:schemeClr val="lt1"/>
              </a:solidFill>
              <a:effectLst/>
              <a:latin typeface="+mn-lt"/>
              <a:ea typeface="+mn-ea"/>
              <a:cs typeface="+mn-cs"/>
            </a:rPr>
            <a:t>Cash Flow Entry</a:t>
          </a:r>
          <a:endParaRPr lang="en-US" sz="1800">
            <a:effectLst/>
          </a:endParaRPr>
        </a:p>
      </xdr:txBody>
    </xdr:sp>
    <xdr:clientData fPrintsWithSheet="0"/>
  </xdr:twoCellAnchor>
  <xdr:twoCellAnchor editAs="absolute">
    <xdr:from>
      <xdr:col>2</xdr:col>
      <xdr:colOff>8453</xdr:colOff>
      <xdr:row>0</xdr:row>
      <xdr:rowOff>40217</xdr:rowOff>
    </xdr:from>
    <xdr:to>
      <xdr:col>3</xdr:col>
      <xdr:colOff>1190624</xdr:colOff>
      <xdr:row>1</xdr:row>
      <xdr:rowOff>274532</xdr:rowOff>
    </xdr:to>
    <xdr:sp macro="[0]!PrintBS_Final" textlink="">
      <xdr:nvSpPr>
        <xdr:cNvPr id="9" name="Rectangle 8">
          <a:hlinkClick xmlns:r="http://schemas.openxmlformats.org/officeDocument/2006/relationships" r:id="rId5" tooltip="Go to Income Statement &amp; Cash Flow Plan"/>
          <a:extLst>
            <a:ext uri="{FF2B5EF4-FFF2-40B4-BE49-F238E27FC236}">
              <a16:creationId xmlns:a16="http://schemas.microsoft.com/office/drawing/2014/main" id="{00000000-0008-0000-0C00-000009000000}"/>
            </a:ext>
          </a:extLst>
        </xdr:cNvPr>
        <xdr:cNvSpPr/>
      </xdr:nvSpPr>
      <xdr:spPr>
        <a:xfrm>
          <a:off x="1769520" y="40217"/>
          <a:ext cx="2210871" cy="547582"/>
        </a:xfrm>
        <a:prstGeom prst="rect">
          <a:avLst/>
        </a:prstGeom>
        <a:solidFill>
          <a:srgbClr val="4A89DC"/>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7. Go</a:t>
          </a:r>
          <a:r>
            <a:rPr lang="en-US" sz="1400" b="1" baseline="0"/>
            <a:t> to </a:t>
          </a:r>
          <a:r>
            <a:rPr lang="en-US" sz="1400" b="1"/>
            <a:t>Cash Flow Plan</a:t>
          </a:r>
        </a:p>
      </xdr:txBody>
    </xdr:sp>
    <xdr:clientData fPrintsWithSheet="0"/>
  </xdr:twoCellAnchor>
  <xdr:twoCellAnchor>
    <xdr:from>
      <xdr:col>12</xdr:col>
      <xdr:colOff>628650</xdr:colOff>
      <xdr:row>0</xdr:row>
      <xdr:rowOff>123825</xdr:rowOff>
    </xdr:from>
    <xdr:to>
      <xdr:col>27</xdr:col>
      <xdr:colOff>862013</xdr:colOff>
      <xdr:row>1</xdr:row>
      <xdr:rowOff>233363</xdr:rowOff>
    </xdr:to>
    <xdr:sp macro="" textlink="">
      <xdr:nvSpPr>
        <xdr:cNvPr id="10" name="Rectangle 9">
          <a:extLst>
            <a:ext uri="{FF2B5EF4-FFF2-40B4-BE49-F238E27FC236}">
              <a16:creationId xmlns:a16="http://schemas.microsoft.com/office/drawing/2014/main" id="{00000000-0008-0000-0C00-00000A000000}"/>
            </a:ext>
          </a:extLst>
        </xdr:cNvPr>
        <xdr:cNvSpPr/>
      </xdr:nvSpPr>
      <xdr:spPr>
        <a:xfrm>
          <a:off x="9377363" y="123825"/>
          <a:ext cx="1790700" cy="423863"/>
        </a:xfrm>
        <a:prstGeom prst="rect">
          <a:avLst/>
        </a:prstGeom>
        <a:solidFill>
          <a:schemeClr val="bg1"/>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absolute">
    <xdr:from>
      <xdr:col>3</xdr:col>
      <xdr:colOff>1214966</xdr:colOff>
      <xdr:row>0</xdr:row>
      <xdr:rowOff>40217</xdr:rowOff>
    </xdr:from>
    <xdr:to>
      <xdr:col>7</xdr:col>
      <xdr:colOff>115371</xdr:colOff>
      <xdr:row>1</xdr:row>
      <xdr:rowOff>274532</xdr:rowOff>
    </xdr:to>
    <xdr:sp macro="[0]!PrintBS_Final" textlink="">
      <xdr:nvSpPr>
        <xdr:cNvPr id="8" name="Rectangle 7">
          <a:hlinkClick xmlns:r="http://schemas.openxmlformats.org/officeDocument/2006/relationships" r:id="rId6" tooltip="Go to Projected Inventory"/>
          <a:extLst>
            <a:ext uri="{FF2B5EF4-FFF2-40B4-BE49-F238E27FC236}">
              <a16:creationId xmlns:a16="http://schemas.microsoft.com/office/drawing/2014/main" id="{00000000-0008-0000-0C00-000008000000}"/>
            </a:ext>
          </a:extLst>
        </xdr:cNvPr>
        <xdr:cNvSpPr/>
      </xdr:nvSpPr>
      <xdr:spPr>
        <a:xfrm>
          <a:off x="4004733" y="40217"/>
          <a:ext cx="2210871" cy="547582"/>
        </a:xfrm>
        <a:prstGeom prst="rect">
          <a:avLst/>
        </a:prstGeom>
        <a:solidFill>
          <a:srgbClr val="434953"/>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9. Go</a:t>
          </a:r>
          <a:r>
            <a:rPr lang="en-US" sz="1400" b="1" baseline="0"/>
            <a:t> to </a:t>
          </a:r>
          <a:r>
            <a:rPr lang="en-US" sz="1400" b="1"/>
            <a:t>Projected Inventory</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editAs="oneCell">
    <xdr:from>
      <xdr:col>0</xdr:col>
      <xdr:colOff>3129643</xdr:colOff>
      <xdr:row>3</xdr:row>
      <xdr:rowOff>245583</xdr:rowOff>
    </xdr:from>
    <xdr:to>
      <xdr:col>0</xdr:col>
      <xdr:colOff>3312523</xdr:colOff>
      <xdr:row>4</xdr:row>
      <xdr:rowOff>180813</xdr:rowOff>
    </xdr:to>
    <xdr:pic>
      <xdr:nvPicPr>
        <xdr:cNvPr id="2" name="Picture 1">
          <a:hlinkClick xmlns:r="http://schemas.openxmlformats.org/officeDocument/2006/relationships" r:id="rId1" tooltip="Go to completed balance sheet"/>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9643" y="883758"/>
          <a:ext cx="182880" cy="182880"/>
        </a:xfrm>
        <a:prstGeom prst="rect">
          <a:avLst/>
        </a:prstGeom>
      </xdr:spPr>
    </xdr:pic>
    <xdr:clientData fPrintsWithSheet="0"/>
  </xdr:twoCellAnchor>
  <xdr:twoCellAnchor editAs="oneCell">
    <xdr:from>
      <xdr:col>0</xdr:col>
      <xdr:colOff>67206</xdr:colOff>
      <xdr:row>1</xdr:row>
      <xdr:rowOff>18860</xdr:rowOff>
    </xdr:from>
    <xdr:to>
      <xdr:col>0</xdr:col>
      <xdr:colOff>1502687</xdr:colOff>
      <xdr:row>3</xdr:row>
      <xdr:rowOff>186500</xdr:rowOff>
    </xdr:to>
    <xdr:sp macro="[0]!PrintBS_Final" textlink="">
      <xdr:nvSpPr>
        <xdr:cNvPr id="3" name="Rectangle 2">
          <a:hlinkClick xmlns:r="http://schemas.openxmlformats.org/officeDocument/2006/relationships" r:id="rId3" tooltip="Go to General Info"/>
          <a:extLst>
            <a:ext uri="{FF2B5EF4-FFF2-40B4-BE49-F238E27FC236}">
              <a16:creationId xmlns:a16="http://schemas.microsoft.com/office/drawing/2014/main" id="{00000000-0008-0000-0E00-000003000000}"/>
            </a:ext>
          </a:extLst>
        </xdr:cNvPr>
        <xdr:cNvSpPr/>
      </xdr:nvSpPr>
      <xdr:spPr>
        <a:xfrm>
          <a:off x="67206" y="276035"/>
          <a:ext cx="1435481" cy="548640"/>
        </a:xfrm>
        <a:prstGeom prst="rect">
          <a:avLst/>
        </a:prstGeom>
        <a:solidFill>
          <a:srgbClr val="F37321"/>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Go</a:t>
          </a:r>
          <a:r>
            <a:rPr lang="en-US" sz="1400" b="1" baseline="0"/>
            <a:t> to Gen Info</a:t>
          </a:r>
          <a:endParaRPr lang="en-US" sz="1400" b="1"/>
        </a:p>
      </xdr:txBody>
    </xdr:sp>
    <xdr:clientData fPrintsWithSheet="0"/>
  </xdr:twoCellAnchor>
  <xdr:twoCellAnchor>
    <xdr:from>
      <xdr:col>0</xdr:col>
      <xdr:colOff>1547813</xdr:colOff>
      <xdr:row>1</xdr:row>
      <xdr:rowOff>18860</xdr:rowOff>
    </xdr:from>
    <xdr:to>
      <xdr:col>0</xdr:col>
      <xdr:colOff>3038285</xdr:colOff>
      <xdr:row>3</xdr:row>
      <xdr:rowOff>186500</xdr:rowOff>
    </xdr:to>
    <xdr:sp macro="[0]!PrintBS_Final" textlink="">
      <xdr:nvSpPr>
        <xdr:cNvPr id="11" name="Rectangle 10">
          <a:hlinkClick xmlns:r="http://schemas.openxmlformats.org/officeDocument/2006/relationships" r:id="rId4" tooltip="Go to Income Statement &amp; Cash Flow Plan"/>
          <a:extLst>
            <a:ext uri="{FF2B5EF4-FFF2-40B4-BE49-F238E27FC236}">
              <a16:creationId xmlns:a16="http://schemas.microsoft.com/office/drawing/2014/main" id="{00000000-0008-0000-0E00-00000B000000}"/>
            </a:ext>
          </a:extLst>
        </xdr:cNvPr>
        <xdr:cNvSpPr/>
      </xdr:nvSpPr>
      <xdr:spPr>
        <a:xfrm>
          <a:off x="1547813" y="272860"/>
          <a:ext cx="1490472" cy="548640"/>
        </a:xfrm>
        <a:prstGeom prst="rect">
          <a:avLst/>
        </a:prstGeom>
        <a:solidFill>
          <a:srgbClr val="4A89DC"/>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7. Go</a:t>
          </a:r>
          <a:r>
            <a:rPr lang="en-US" sz="1400" b="1" baseline="0"/>
            <a:t> to </a:t>
          </a:r>
          <a:r>
            <a:rPr lang="en-US" sz="1400" b="1"/>
            <a:t>Cash Flow Entry</a:t>
          </a:r>
        </a:p>
      </xdr:txBody>
    </xdr:sp>
    <xdr:clientData/>
  </xdr:twoCellAnchor>
  <xdr:twoCellAnchor editAs="oneCell">
    <xdr:from>
      <xdr:col>3</xdr:col>
      <xdr:colOff>163510</xdr:colOff>
      <xdr:row>1</xdr:row>
      <xdr:rowOff>18860</xdr:rowOff>
    </xdr:from>
    <xdr:to>
      <xdr:col>4</xdr:col>
      <xdr:colOff>414863</xdr:colOff>
      <xdr:row>3</xdr:row>
      <xdr:rowOff>186500</xdr:rowOff>
    </xdr:to>
    <xdr:sp macro="" textlink="">
      <xdr:nvSpPr>
        <xdr:cNvPr id="12" name="Rectangle 11">
          <a:hlinkClick xmlns:r="http://schemas.openxmlformats.org/officeDocument/2006/relationships" r:id="rId5" tooltip="Click to go to the final cash flow plan to print the summarized cash flow plan."/>
          <a:extLst>
            <a:ext uri="{FF2B5EF4-FFF2-40B4-BE49-F238E27FC236}">
              <a16:creationId xmlns:a16="http://schemas.microsoft.com/office/drawing/2014/main" id="{00000000-0008-0000-0E00-00000C000000}"/>
            </a:ext>
          </a:extLst>
        </xdr:cNvPr>
        <xdr:cNvSpPr/>
      </xdr:nvSpPr>
      <xdr:spPr>
        <a:xfrm>
          <a:off x="4497385" y="276035"/>
          <a:ext cx="1365777" cy="548640"/>
        </a:xfrm>
        <a:prstGeom prst="rect">
          <a:avLst/>
        </a:prstGeom>
        <a:solidFill>
          <a:srgbClr val="4A89DC"/>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t>10. Go to Final </a:t>
          </a:r>
          <a:r>
            <a:rPr lang="en-US" sz="1400" b="1" baseline="0"/>
            <a:t>Cash Flow Plan</a:t>
          </a:r>
          <a:endParaRPr lang="en-US" sz="1400" b="1"/>
        </a:p>
      </xdr:txBody>
    </xdr:sp>
    <xdr:clientData fPrintsWithSheet="0"/>
  </xdr:twoCellAnchor>
  <xdr:twoCellAnchor editAs="oneCell">
    <xdr:from>
      <xdr:col>0</xdr:col>
      <xdr:colOff>3129643</xdr:colOff>
      <xdr:row>15</xdr:row>
      <xdr:rowOff>0</xdr:rowOff>
    </xdr:from>
    <xdr:to>
      <xdr:col>0</xdr:col>
      <xdr:colOff>3312523</xdr:colOff>
      <xdr:row>15</xdr:row>
      <xdr:rowOff>182880</xdr:rowOff>
    </xdr:to>
    <xdr:pic>
      <xdr:nvPicPr>
        <xdr:cNvPr id="13" name="Picture 12">
          <a:hlinkClick xmlns:r="http://schemas.openxmlformats.org/officeDocument/2006/relationships" r:id="rId1" tooltip="Go to completed balance sheet"/>
          <a:extLst>
            <a:ext uri="{FF2B5EF4-FFF2-40B4-BE49-F238E27FC236}">
              <a16:creationId xmlns:a16="http://schemas.microsoft.com/office/drawing/2014/main" id="{00000000-0008-0000-0E00-00000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9643" y="2867025"/>
          <a:ext cx="182880" cy="182880"/>
        </a:xfrm>
        <a:prstGeom prst="rect">
          <a:avLst/>
        </a:prstGeom>
      </xdr:spPr>
    </xdr:pic>
    <xdr:clientData fPrintsWithSheet="0"/>
  </xdr:twoCellAnchor>
  <xdr:twoCellAnchor editAs="oneCell">
    <xdr:from>
      <xdr:col>0</xdr:col>
      <xdr:colOff>3129643</xdr:colOff>
      <xdr:row>26</xdr:row>
      <xdr:rowOff>0</xdr:rowOff>
    </xdr:from>
    <xdr:to>
      <xdr:col>0</xdr:col>
      <xdr:colOff>3312523</xdr:colOff>
      <xdr:row>26</xdr:row>
      <xdr:rowOff>182880</xdr:rowOff>
    </xdr:to>
    <xdr:pic>
      <xdr:nvPicPr>
        <xdr:cNvPr id="14" name="Picture 13">
          <a:hlinkClick xmlns:r="http://schemas.openxmlformats.org/officeDocument/2006/relationships" r:id="rId6" tooltip="Go to completed balance sheet"/>
          <a:extLst>
            <a:ext uri="{FF2B5EF4-FFF2-40B4-BE49-F238E27FC236}">
              <a16:creationId xmlns:a16="http://schemas.microsoft.com/office/drawing/2014/main" id="{00000000-0008-0000-0E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9643" y="4686300"/>
          <a:ext cx="182880" cy="182880"/>
        </a:xfrm>
        <a:prstGeom prst="rect">
          <a:avLst/>
        </a:prstGeom>
      </xdr:spPr>
    </xdr:pic>
    <xdr:clientData fPrintsWithSheet="0"/>
  </xdr:twoCellAnchor>
  <xdr:twoCellAnchor editAs="absolute">
    <xdr:from>
      <xdr:col>0</xdr:col>
      <xdr:colOff>3073403</xdr:colOff>
      <xdr:row>1</xdr:row>
      <xdr:rowOff>18860</xdr:rowOff>
    </xdr:from>
    <xdr:to>
      <xdr:col>3</xdr:col>
      <xdr:colOff>1061</xdr:colOff>
      <xdr:row>3</xdr:row>
      <xdr:rowOff>185442</xdr:rowOff>
    </xdr:to>
    <xdr:sp macro="[0]!PrintBS_Final" textlink="">
      <xdr:nvSpPr>
        <xdr:cNvPr id="8" name="Rectangle 7">
          <a:hlinkClick xmlns:r="http://schemas.openxmlformats.org/officeDocument/2006/relationships" r:id="rId7" tooltip="Go to Proposed Loans"/>
          <a:extLst>
            <a:ext uri="{FF2B5EF4-FFF2-40B4-BE49-F238E27FC236}">
              <a16:creationId xmlns:a16="http://schemas.microsoft.com/office/drawing/2014/main" id="{00000000-0008-0000-0E00-000008000000}"/>
            </a:ext>
          </a:extLst>
        </xdr:cNvPr>
        <xdr:cNvSpPr/>
      </xdr:nvSpPr>
      <xdr:spPr>
        <a:xfrm>
          <a:off x="3073403" y="276035"/>
          <a:ext cx="1371600" cy="547582"/>
        </a:xfrm>
        <a:prstGeom prst="rect">
          <a:avLst/>
        </a:prstGeom>
        <a:solidFill>
          <a:srgbClr val="434953"/>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8. Go</a:t>
          </a:r>
          <a:r>
            <a:rPr lang="en-US" sz="1400" b="1" baseline="0"/>
            <a:t> to </a:t>
          </a:r>
          <a:r>
            <a:rPr lang="en-US" sz="1400" b="1"/>
            <a:t>Proposed Loans</a:t>
          </a: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editAs="oneCell">
    <xdr:from>
      <xdr:col>1</xdr:col>
      <xdr:colOff>28577</xdr:colOff>
      <xdr:row>9</xdr:row>
      <xdr:rowOff>24529</xdr:rowOff>
    </xdr:from>
    <xdr:to>
      <xdr:col>1</xdr:col>
      <xdr:colOff>479274</xdr:colOff>
      <xdr:row>15</xdr:row>
      <xdr:rowOff>148354</xdr:rowOff>
    </xdr:to>
    <xdr:pic>
      <xdr:nvPicPr>
        <xdr:cNvPr id="8" name="Picture 7">
          <a:extLst>
            <a:ext uri="{FF2B5EF4-FFF2-40B4-BE49-F238E27FC236}">
              <a16:creationId xmlns:a16="http://schemas.microsoft.com/office/drawing/2014/main" id="{00000000-0008-0000-0F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7" y="491254"/>
          <a:ext cx="450697" cy="457200"/>
        </a:xfrm>
        <a:prstGeom prst="rect">
          <a:avLst/>
        </a:prstGeom>
      </xdr:spPr>
    </xdr:pic>
    <xdr:clientData/>
  </xdr:twoCellAnchor>
  <xdr:twoCellAnchor editAs="oneCell">
    <xdr:from>
      <xdr:col>3</xdr:col>
      <xdr:colOff>866775</xdr:colOff>
      <xdr:row>186</xdr:row>
      <xdr:rowOff>648</xdr:rowOff>
    </xdr:from>
    <xdr:to>
      <xdr:col>4</xdr:col>
      <xdr:colOff>1905</xdr:colOff>
      <xdr:row>186</xdr:row>
      <xdr:rowOff>183528</xdr:rowOff>
    </xdr:to>
    <xdr:pic>
      <xdr:nvPicPr>
        <xdr:cNvPr id="3" name="Picture 2">
          <a:hlinkClick xmlns:r="http://schemas.openxmlformats.org/officeDocument/2006/relationships" r:id="rId2" tooltip="Go back to General Info to change how you sell your product."/>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149975" y="22094415"/>
          <a:ext cx="182880" cy="182880"/>
        </a:xfrm>
        <a:prstGeom prst="rect">
          <a:avLst/>
        </a:prstGeom>
      </xdr:spPr>
    </xdr:pic>
    <xdr:clientData fPrintsWithSheet="0"/>
  </xdr:twoCellAnchor>
  <xdr:twoCellAnchor editAs="oneCell">
    <xdr:from>
      <xdr:col>1</xdr:col>
      <xdr:colOff>3565624</xdr:colOff>
      <xdr:row>87</xdr:row>
      <xdr:rowOff>22412</xdr:rowOff>
    </xdr:from>
    <xdr:to>
      <xdr:col>1</xdr:col>
      <xdr:colOff>3748504</xdr:colOff>
      <xdr:row>88</xdr:row>
      <xdr:rowOff>14792</xdr:rowOff>
    </xdr:to>
    <xdr:pic>
      <xdr:nvPicPr>
        <xdr:cNvPr id="9" name="Picture 8">
          <a:hlinkClick xmlns:r="http://schemas.openxmlformats.org/officeDocument/2006/relationships" r:id="rId4" tooltip="Go back to General Info to change how you sell your product."/>
          <a:extLst>
            <a:ext uri="{FF2B5EF4-FFF2-40B4-BE49-F238E27FC236}">
              <a16:creationId xmlns:a16="http://schemas.microsoft.com/office/drawing/2014/main" id="{00000000-0008-0000-0F00-00000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565624" y="13221945"/>
          <a:ext cx="182880" cy="182880"/>
        </a:xfrm>
        <a:prstGeom prst="rect">
          <a:avLst/>
        </a:prstGeom>
      </xdr:spPr>
    </xdr:pic>
    <xdr:clientData fPrintsWithSheet="0"/>
  </xdr:twoCellAnchor>
  <xdr:twoCellAnchor editAs="oneCell">
    <xdr:from>
      <xdr:col>5</xdr:col>
      <xdr:colOff>312747</xdr:colOff>
      <xdr:row>10</xdr:row>
      <xdr:rowOff>52454</xdr:rowOff>
    </xdr:from>
    <xdr:to>
      <xdr:col>12</xdr:col>
      <xdr:colOff>320367</xdr:colOff>
      <xdr:row>32</xdr:row>
      <xdr:rowOff>57150</xdr:rowOff>
    </xdr:to>
    <xdr:graphicFrame macro="">
      <xdr:nvGraphicFramePr>
        <xdr:cNvPr id="4" name="Chart 3">
          <a:extLst>
            <a:ext uri="{FF2B5EF4-FFF2-40B4-BE49-F238E27FC236}">
              <a16:creationId xmlns:a16="http://schemas.microsoft.com/office/drawing/2014/main" id="{00000000-0008-0000-0F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4</xdr:col>
      <xdr:colOff>549275</xdr:colOff>
      <xdr:row>82</xdr:row>
      <xdr:rowOff>23906</xdr:rowOff>
    </xdr:from>
    <xdr:to>
      <xdr:col>11</xdr:col>
      <xdr:colOff>537845</xdr:colOff>
      <xdr:row>99</xdr:row>
      <xdr:rowOff>2242</xdr:rowOff>
    </xdr:to>
    <xdr:graphicFrame macro="">
      <xdr:nvGraphicFramePr>
        <xdr:cNvPr id="10" name="Chart 9">
          <a:extLst>
            <a:ext uri="{FF2B5EF4-FFF2-40B4-BE49-F238E27FC236}">
              <a16:creationId xmlns:a16="http://schemas.microsoft.com/office/drawing/2014/main" id="{00000000-0008-0000-0F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4</xdr:col>
      <xdr:colOff>549275</xdr:colOff>
      <xdr:row>100</xdr:row>
      <xdr:rowOff>48683</xdr:rowOff>
    </xdr:from>
    <xdr:to>
      <xdr:col>11</xdr:col>
      <xdr:colOff>537845</xdr:colOff>
      <xdr:row>131</xdr:row>
      <xdr:rowOff>39159</xdr:rowOff>
    </xdr:to>
    <xdr:graphicFrame macro="">
      <xdr:nvGraphicFramePr>
        <xdr:cNvPr id="11" name="Chart 10">
          <a:extLst>
            <a:ext uri="{FF2B5EF4-FFF2-40B4-BE49-F238E27FC236}">
              <a16:creationId xmlns:a16="http://schemas.microsoft.com/office/drawing/2014/main" id="{00000000-0008-0000-0F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158759</xdr:colOff>
          <xdr:row>16</xdr:row>
          <xdr:rowOff>158749</xdr:rowOff>
        </xdr:from>
        <xdr:to>
          <xdr:col>4</xdr:col>
          <xdr:colOff>323351</xdr:colOff>
          <xdr:row>18</xdr:row>
          <xdr:rowOff>4253</xdr:rowOff>
        </xdr:to>
        <xdr:pic>
          <xdr:nvPicPr>
            <xdr:cNvPr id="14" name="Picture 13">
              <a:hlinkClick xmlns:r="http://schemas.openxmlformats.org/officeDocument/2006/relationships" r:id="rId8" tooltip="Go to monthly input"/>
              <a:extLst>
                <a:ext uri="{FF2B5EF4-FFF2-40B4-BE49-F238E27FC236}">
                  <a16:creationId xmlns:a16="http://schemas.microsoft.com/office/drawing/2014/main" id="{00000000-0008-0000-0F00-00000E000000}"/>
                </a:ext>
              </a:extLst>
            </xdr:cNvPr>
            <xdr:cNvPicPr>
              <a:picLocks noChangeAspect="1"/>
              <a:extLst>
                <a:ext uri="{84589F7E-364E-4C9E-8A38-B11213B215E9}">
                  <a14:cameraTool cellRange="Picture" spid="_x0000_s14476"/>
                </a:ext>
              </a:extLst>
            </xdr:cNvPicPr>
          </xdr:nvPicPr>
          <xdr:blipFill>
            <a:blip xmlns:r="http://schemas.openxmlformats.org/officeDocument/2006/relationships" r:embed="rId9"/>
            <a:stretch>
              <a:fillRect/>
            </a:stretch>
          </xdr:blipFill>
          <xdr:spPr>
            <a:xfrm>
              <a:off x="6530984" y="1339849"/>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28</xdr:row>
          <xdr:rowOff>0</xdr:rowOff>
        </xdr:from>
        <xdr:to>
          <xdr:col>4</xdr:col>
          <xdr:colOff>323351</xdr:colOff>
          <xdr:row>29</xdr:row>
          <xdr:rowOff>12192</xdr:rowOff>
        </xdr:to>
        <xdr:pic>
          <xdr:nvPicPr>
            <xdr:cNvPr id="15" name="Picture 14">
              <a:hlinkClick xmlns:r="http://schemas.openxmlformats.org/officeDocument/2006/relationships" r:id="rId10" tooltip="Go to monthly input"/>
              <a:extLst>
                <a:ext uri="{FF2B5EF4-FFF2-40B4-BE49-F238E27FC236}">
                  <a16:creationId xmlns:a16="http://schemas.microsoft.com/office/drawing/2014/main" id="{00000000-0008-0000-0F00-00000F000000}"/>
                </a:ext>
              </a:extLst>
            </xdr:cNvPr>
            <xdr:cNvPicPr>
              <a:picLocks noChangeAspect="1"/>
              <a:extLst>
                <a:ext uri="{84589F7E-364E-4C9E-8A38-B11213B215E9}">
                  <a14:cameraTool cellRange="Picture" spid="_x0000_s14477"/>
                </a:ext>
              </a:extLst>
            </xdr:cNvPicPr>
          </xdr:nvPicPr>
          <xdr:blipFill>
            <a:blip xmlns:r="http://schemas.openxmlformats.org/officeDocument/2006/relationships" r:embed="rId9"/>
            <a:stretch>
              <a:fillRect/>
            </a:stretch>
          </xdr:blipFill>
          <xdr:spPr>
            <a:xfrm>
              <a:off x="6530984" y="3024188"/>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17</xdr:row>
          <xdr:rowOff>158749</xdr:rowOff>
        </xdr:from>
        <xdr:to>
          <xdr:col>4</xdr:col>
          <xdr:colOff>323351</xdr:colOff>
          <xdr:row>19</xdr:row>
          <xdr:rowOff>17484</xdr:rowOff>
        </xdr:to>
        <xdr:pic>
          <xdr:nvPicPr>
            <xdr:cNvPr id="16" name="Picture 15">
              <a:hlinkClick xmlns:r="http://schemas.openxmlformats.org/officeDocument/2006/relationships" r:id="rId11" tooltip="Go to monthly input"/>
              <a:extLst>
                <a:ext uri="{FF2B5EF4-FFF2-40B4-BE49-F238E27FC236}">
                  <a16:creationId xmlns:a16="http://schemas.microsoft.com/office/drawing/2014/main" id="{00000000-0008-0000-0F00-000010000000}"/>
                </a:ext>
              </a:extLst>
            </xdr:cNvPr>
            <xdr:cNvPicPr>
              <a:picLocks noChangeAspect="1"/>
              <a:extLst>
                <a:ext uri="{84589F7E-364E-4C9E-8A38-B11213B215E9}">
                  <a14:cameraTool cellRange="Picture" spid="_x0000_s14478"/>
                </a:ext>
              </a:extLst>
            </xdr:cNvPicPr>
          </xdr:nvPicPr>
          <xdr:blipFill>
            <a:blip xmlns:r="http://schemas.openxmlformats.org/officeDocument/2006/relationships" r:embed="rId9"/>
            <a:stretch>
              <a:fillRect/>
            </a:stretch>
          </xdr:blipFill>
          <xdr:spPr>
            <a:xfrm>
              <a:off x="6103947" y="2444749"/>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18</xdr:row>
          <xdr:rowOff>158749</xdr:rowOff>
        </xdr:from>
        <xdr:to>
          <xdr:col>4</xdr:col>
          <xdr:colOff>323351</xdr:colOff>
          <xdr:row>20</xdr:row>
          <xdr:rowOff>17483</xdr:rowOff>
        </xdr:to>
        <xdr:pic>
          <xdr:nvPicPr>
            <xdr:cNvPr id="17" name="Picture 16">
              <a:hlinkClick xmlns:r="http://schemas.openxmlformats.org/officeDocument/2006/relationships" r:id="rId12" tooltip="Go to monthly input"/>
              <a:extLst>
                <a:ext uri="{FF2B5EF4-FFF2-40B4-BE49-F238E27FC236}">
                  <a16:creationId xmlns:a16="http://schemas.microsoft.com/office/drawing/2014/main" id="{00000000-0008-0000-0F00-000011000000}"/>
                </a:ext>
              </a:extLst>
            </xdr:cNvPr>
            <xdr:cNvPicPr>
              <a:picLocks noChangeAspect="1"/>
              <a:extLst>
                <a:ext uri="{84589F7E-364E-4C9E-8A38-B11213B215E9}">
                  <a14:cameraTool cellRange="Picture" spid="_x0000_s14479"/>
                </a:ext>
              </a:extLst>
            </xdr:cNvPicPr>
          </xdr:nvPicPr>
          <xdr:blipFill>
            <a:blip xmlns:r="http://schemas.openxmlformats.org/officeDocument/2006/relationships" r:embed="rId9"/>
            <a:stretch>
              <a:fillRect/>
            </a:stretch>
          </xdr:blipFill>
          <xdr:spPr>
            <a:xfrm>
              <a:off x="6103947" y="2603499"/>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18</xdr:row>
          <xdr:rowOff>1586</xdr:rowOff>
        </xdr:from>
        <xdr:to>
          <xdr:col>4</xdr:col>
          <xdr:colOff>323351</xdr:colOff>
          <xdr:row>19</xdr:row>
          <xdr:rowOff>13778</xdr:rowOff>
        </xdr:to>
        <xdr:pic>
          <xdr:nvPicPr>
            <xdr:cNvPr id="18" name="Picture 17">
              <a:hlinkClick xmlns:r="http://schemas.openxmlformats.org/officeDocument/2006/relationships" r:id="rId13" tooltip="Go to monthly input"/>
              <a:extLst>
                <a:ext uri="{FF2B5EF4-FFF2-40B4-BE49-F238E27FC236}">
                  <a16:creationId xmlns:a16="http://schemas.microsoft.com/office/drawing/2014/main" id="{00000000-0008-0000-0F00-000012000000}"/>
                </a:ext>
              </a:extLst>
            </xdr:cNvPr>
            <xdr:cNvPicPr>
              <a:picLocks noChangeAspect="1"/>
              <a:extLst>
                <a:ext uri="{84589F7E-364E-4C9E-8A38-B11213B215E9}">
                  <a14:cameraTool cellRange="Picture" spid="_x0000_s14480"/>
                </a:ext>
              </a:extLst>
            </xdr:cNvPicPr>
          </xdr:nvPicPr>
          <xdr:blipFill>
            <a:blip xmlns:r="http://schemas.openxmlformats.org/officeDocument/2006/relationships" r:embed="rId9"/>
            <a:stretch>
              <a:fillRect/>
            </a:stretch>
          </xdr:blipFill>
          <xdr:spPr>
            <a:xfrm>
              <a:off x="6530984" y="1501774"/>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18</xdr:row>
          <xdr:rowOff>149224</xdr:rowOff>
        </xdr:from>
        <xdr:to>
          <xdr:col>4</xdr:col>
          <xdr:colOff>323351</xdr:colOff>
          <xdr:row>20</xdr:row>
          <xdr:rowOff>9016</xdr:rowOff>
        </xdr:to>
        <xdr:pic>
          <xdr:nvPicPr>
            <xdr:cNvPr id="19" name="Picture 18">
              <a:hlinkClick xmlns:r="http://schemas.openxmlformats.org/officeDocument/2006/relationships" r:id="rId14" tooltip="Go to monthly input"/>
              <a:extLst>
                <a:ext uri="{FF2B5EF4-FFF2-40B4-BE49-F238E27FC236}">
                  <a16:creationId xmlns:a16="http://schemas.microsoft.com/office/drawing/2014/main" id="{00000000-0008-0000-0F00-000013000000}"/>
                </a:ext>
              </a:extLst>
            </xdr:cNvPr>
            <xdr:cNvPicPr>
              <a:picLocks noChangeAspect="1"/>
              <a:extLst>
                <a:ext uri="{84589F7E-364E-4C9E-8A38-B11213B215E9}">
                  <a14:cameraTool cellRange="Picture" spid="_x0000_s14481"/>
                </a:ext>
              </a:extLst>
            </xdr:cNvPicPr>
          </xdr:nvPicPr>
          <xdr:blipFill>
            <a:blip xmlns:r="http://schemas.openxmlformats.org/officeDocument/2006/relationships" r:embed="rId9"/>
            <a:stretch>
              <a:fillRect/>
            </a:stretch>
          </xdr:blipFill>
          <xdr:spPr>
            <a:xfrm>
              <a:off x="6530984" y="1649412"/>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57</xdr:row>
          <xdr:rowOff>0</xdr:rowOff>
        </xdr:from>
        <xdr:to>
          <xdr:col>4</xdr:col>
          <xdr:colOff>323351</xdr:colOff>
          <xdr:row>58</xdr:row>
          <xdr:rowOff>12255</xdr:rowOff>
        </xdr:to>
        <xdr:pic>
          <xdr:nvPicPr>
            <xdr:cNvPr id="36" name="Picture 35">
              <a:hlinkClick xmlns:r="http://schemas.openxmlformats.org/officeDocument/2006/relationships" r:id="rId15" tooltip="Go to monthly input"/>
              <a:extLst>
                <a:ext uri="{FF2B5EF4-FFF2-40B4-BE49-F238E27FC236}">
                  <a16:creationId xmlns:a16="http://schemas.microsoft.com/office/drawing/2014/main" id="{00000000-0008-0000-0F00-000024000000}"/>
                </a:ext>
              </a:extLst>
            </xdr:cNvPr>
            <xdr:cNvPicPr>
              <a:picLocks noChangeAspect="1"/>
              <a:extLst>
                <a:ext uri="{84589F7E-364E-4C9E-8A38-B11213B215E9}">
                  <a14:cameraTool cellRange="Picture" spid="_x0000_s14482"/>
                </a:ext>
              </a:extLst>
            </xdr:cNvPicPr>
          </xdr:nvPicPr>
          <xdr:blipFill>
            <a:blip xmlns:r="http://schemas.openxmlformats.org/officeDocument/2006/relationships" r:embed="rId9"/>
            <a:stretch>
              <a:fillRect/>
            </a:stretch>
          </xdr:blipFill>
          <xdr:spPr>
            <a:xfrm>
              <a:off x="6103947" y="4865687"/>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57</xdr:row>
          <xdr:rowOff>0</xdr:rowOff>
        </xdr:from>
        <xdr:to>
          <xdr:col>4</xdr:col>
          <xdr:colOff>323351</xdr:colOff>
          <xdr:row>58</xdr:row>
          <xdr:rowOff>10137</xdr:rowOff>
        </xdr:to>
        <xdr:pic>
          <xdr:nvPicPr>
            <xdr:cNvPr id="37" name="Picture 36">
              <a:hlinkClick xmlns:r="http://schemas.openxmlformats.org/officeDocument/2006/relationships" r:id="rId16" tooltip="Go to monthly input"/>
              <a:extLst>
                <a:ext uri="{FF2B5EF4-FFF2-40B4-BE49-F238E27FC236}">
                  <a16:creationId xmlns:a16="http://schemas.microsoft.com/office/drawing/2014/main" id="{00000000-0008-0000-0F00-000025000000}"/>
                </a:ext>
              </a:extLst>
            </xdr:cNvPr>
            <xdr:cNvPicPr>
              <a:picLocks noChangeAspect="1"/>
              <a:extLst>
                <a:ext uri="{84589F7E-364E-4C9E-8A38-B11213B215E9}">
                  <a14:cameraTool cellRange="Picture" spid="_x0000_s14483"/>
                </a:ext>
              </a:extLst>
            </xdr:cNvPicPr>
          </xdr:nvPicPr>
          <xdr:blipFill>
            <a:blip xmlns:r="http://schemas.openxmlformats.org/officeDocument/2006/relationships" r:embed="rId9"/>
            <a:stretch>
              <a:fillRect/>
            </a:stretch>
          </xdr:blipFill>
          <xdr:spPr>
            <a:xfrm>
              <a:off x="6102359" y="7705725"/>
              <a:ext cx="164592" cy="162537"/>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149</xdr:row>
          <xdr:rowOff>0</xdr:rowOff>
        </xdr:from>
        <xdr:to>
          <xdr:col>4</xdr:col>
          <xdr:colOff>323351</xdr:colOff>
          <xdr:row>150</xdr:row>
          <xdr:rowOff>6900</xdr:rowOff>
        </xdr:to>
        <xdr:pic>
          <xdr:nvPicPr>
            <xdr:cNvPr id="49" name="Picture 48">
              <a:hlinkClick xmlns:r="http://schemas.openxmlformats.org/officeDocument/2006/relationships" r:id="rId17" tooltip="Go to monthly input"/>
              <a:extLst>
                <a:ext uri="{FF2B5EF4-FFF2-40B4-BE49-F238E27FC236}">
                  <a16:creationId xmlns:a16="http://schemas.microsoft.com/office/drawing/2014/main" id="{00000000-0008-0000-0F00-000031000000}"/>
                </a:ext>
              </a:extLst>
            </xdr:cNvPr>
            <xdr:cNvPicPr>
              <a:picLocks noChangeAspect="1"/>
              <a:extLst>
                <a:ext uri="{84589F7E-364E-4C9E-8A38-B11213B215E9}">
                  <a14:cameraTool cellRange="Picture" spid="_x0000_s14484"/>
                </a:ext>
              </a:extLst>
            </xdr:cNvPicPr>
          </xdr:nvPicPr>
          <xdr:blipFill>
            <a:blip xmlns:r="http://schemas.openxmlformats.org/officeDocument/2006/relationships" r:embed="rId9"/>
            <a:stretch>
              <a:fillRect/>
            </a:stretch>
          </xdr:blipFill>
          <xdr:spPr>
            <a:xfrm>
              <a:off x="6102359" y="8553450"/>
              <a:ext cx="164592" cy="167767"/>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153</xdr:row>
          <xdr:rowOff>0</xdr:rowOff>
        </xdr:from>
        <xdr:to>
          <xdr:col>4</xdr:col>
          <xdr:colOff>323351</xdr:colOff>
          <xdr:row>154</xdr:row>
          <xdr:rowOff>6900</xdr:rowOff>
        </xdr:to>
        <xdr:pic>
          <xdr:nvPicPr>
            <xdr:cNvPr id="50" name="Picture 49">
              <a:hlinkClick xmlns:r="http://schemas.openxmlformats.org/officeDocument/2006/relationships" r:id="rId18" tooltip="Go to monthly input"/>
              <a:extLst>
                <a:ext uri="{FF2B5EF4-FFF2-40B4-BE49-F238E27FC236}">
                  <a16:creationId xmlns:a16="http://schemas.microsoft.com/office/drawing/2014/main" id="{00000000-0008-0000-0F00-000032000000}"/>
                </a:ext>
              </a:extLst>
            </xdr:cNvPr>
            <xdr:cNvPicPr>
              <a:picLocks noChangeAspect="1"/>
              <a:extLst>
                <a:ext uri="{84589F7E-364E-4C9E-8A38-B11213B215E9}">
                  <a14:cameraTool cellRange="Picture" spid="_x0000_s14485"/>
                </a:ext>
              </a:extLst>
            </xdr:cNvPicPr>
          </xdr:nvPicPr>
          <xdr:blipFill>
            <a:blip xmlns:r="http://schemas.openxmlformats.org/officeDocument/2006/relationships" r:embed="rId9"/>
            <a:stretch>
              <a:fillRect/>
            </a:stretch>
          </xdr:blipFill>
          <xdr:spPr>
            <a:xfrm>
              <a:off x="6102359" y="11410950"/>
              <a:ext cx="164592" cy="168824"/>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89</xdr:row>
          <xdr:rowOff>0</xdr:rowOff>
        </xdr:from>
        <xdr:to>
          <xdr:col>4</xdr:col>
          <xdr:colOff>323351</xdr:colOff>
          <xdr:row>90</xdr:row>
          <xdr:rowOff>2668</xdr:rowOff>
        </xdr:to>
        <xdr:pic>
          <xdr:nvPicPr>
            <xdr:cNvPr id="52" name="Picture 51">
              <a:hlinkClick xmlns:r="http://schemas.openxmlformats.org/officeDocument/2006/relationships" r:id="rId19" tooltip="Go to monthly input"/>
              <a:extLst>
                <a:ext uri="{FF2B5EF4-FFF2-40B4-BE49-F238E27FC236}">
                  <a16:creationId xmlns:a16="http://schemas.microsoft.com/office/drawing/2014/main" id="{00000000-0008-0000-0F00-000034000000}"/>
                </a:ext>
              </a:extLst>
            </xdr:cNvPr>
            <xdr:cNvPicPr>
              <a:picLocks noChangeAspect="1"/>
              <a:extLst>
                <a:ext uri="{84589F7E-364E-4C9E-8A38-B11213B215E9}">
                  <a14:cameraTool cellRange="Picture" spid="_x0000_s14486"/>
                </a:ext>
              </a:extLst>
            </xdr:cNvPicPr>
          </xdr:nvPicPr>
          <xdr:blipFill>
            <a:blip xmlns:r="http://schemas.openxmlformats.org/officeDocument/2006/relationships" r:embed="rId9"/>
            <a:stretch>
              <a:fillRect/>
            </a:stretch>
          </xdr:blipFill>
          <xdr:spPr>
            <a:xfrm>
              <a:off x="6102359" y="1377315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93</xdr:row>
          <xdr:rowOff>0</xdr:rowOff>
        </xdr:from>
        <xdr:to>
          <xdr:col>4</xdr:col>
          <xdr:colOff>323351</xdr:colOff>
          <xdr:row>94</xdr:row>
          <xdr:rowOff>2666</xdr:rowOff>
        </xdr:to>
        <xdr:pic>
          <xdr:nvPicPr>
            <xdr:cNvPr id="53" name="Picture 52">
              <a:hlinkClick xmlns:r="http://schemas.openxmlformats.org/officeDocument/2006/relationships" r:id="rId20" tooltip="Go to monthly input"/>
              <a:extLst>
                <a:ext uri="{FF2B5EF4-FFF2-40B4-BE49-F238E27FC236}">
                  <a16:creationId xmlns:a16="http://schemas.microsoft.com/office/drawing/2014/main" id="{00000000-0008-0000-0F00-000035000000}"/>
                </a:ext>
              </a:extLst>
            </xdr:cNvPr>
            <xdr:cNvPicPr>
              <a:picLocks noChangeAspect="1"/>
              <a:extLst>
                <a:ext uri="{84589F7E-364E-4C9E-8A38-B11213B215E9}">
                  <a14:cameraTool cellRange="Picture" spid="_x0000_s14487"/>
                </a:ext>
              </a:extLst>
            </xdr:cNvPicPr>
          </xdr:nvPicPr>
          <xdr:blipFill>
            <a:blip xmlns:r="http://schemas.openxmlformats.org/officeDocument/2006/relationships" r:embed="rId9"/>
            <a:stretch>
              <a:fillRect/>
            </a:stretch>
          </xdr:blipFill>
          <xdr:spPr>
            <a:xfrm>
              <a:off x="6102359" y="1382077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95</xdr:row>
          <xdr:rowOff>0</xdr:rowOff>
        </xdr:from>
        <xdr:to>
          <xdr:col>4</xdr:col>
          <xdr:colOff>323351</xdr:colOff>
          <xdr:row>96</xdr:row>
          <xdr:rowOff>2669</xdr:rowOff>
        </xdr:to>
        <xdr:pic>
          <xdr:nvPicPr>
            <xdr:cNvPr id="54" name="Picture 53">
              <a:hlinkClick xmlns:r="http://schemas.openxmlformats.org/officeDocument/2006/relationships" r:id="rId21" tooltip="Go to monthly input"/>
              <a:extLst>
                <a:ext uri="{FF2B5EF4-FFF2-40B4-BE49-F238E27FC236}">
                  <a16:creationId xmlns:a16="http://schemas.microsoft.com/office/drawing/2014/main" id="{00000000-0008-0000-0F00-000036000000}"/>
                </a:ext>
              </a:extLst>
            </xdr:cNvPr>
            <xdr:cNvPicPr>
              <a:picLocks noChangeAspect="1"/>
              <a:extLst>
                <a:ext uri="{84589F7E-364E-4C9E-8A38-B11213B215E9}">
                  <a14:cameraTool cellRange="Picture" spid="_x0000_s14488"/>
                </a:ext>
              </a:extLst>
            </xdr:cNvPicPr>
          </xdr:nvPicPr>
          <xdr:blipFill>
            <a:blip xmlns:r="http://schemas.openxmlformats.org/officeDocument/2006/relationships" r:embed="rId9"/>
            <a:stretch>
              <a:fillRect/>
            </a:stretch>
          </xdr:blipFill>
          <xdr:spPr>
            <a:xfrm>
              <a:off x="6102359" y="1458277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96</xdr:row>
          <xdr:rowOff>0</xdr:rowOff>
        </xdr:from>
        <xdr:to>
          <xdr:col>4</xdr:col>
          <xdr:colOff>323351</xdr:colOff>
          <xdr:row>97</xdr:row>
          <xdr:rowOff>2668</xdr:rowOff>
        </xdr:to>
        <xdr:pic>
          <xdr:nvPicPr>
            <xdr:cNvPr id="55" name="Picture 54">
              <a:hlinkClick xmlns:r="http://schemas.openxmlformats.org/officeDocument/2006/relationships" r:id="rId22" tooltip="Go to monthly input"/>
              <a:extLst>
                <a:ext uri="{FF2B5EF4-FFF2-40B4-BE49-F238E27FC236}">
                  <a16:creationId xmlns:a16="http://schemas.microsoft.com/office/drawing/2014/main" id="{00000000-0008-0000-0F00-000037000000}"/>
                </a:ext>
              </a:extLst>
            </xdr:cNvPr>
            <xdr:cNvPicPr>
              <a:picLocks noChangeAspect="1"/>
              <a:extLst>
                <a:ext uri="{84589F7E-364E-4C9E-8A38-B11213B215E9}">
                  <a14:cameraTool cellRange="Picture" spid="_x0000_s14489"/>
                </a:ext>
              </a:extLst>
            </xdr:cNvPicPr>
          </xdr:nvPicPr>
          <xdr:blipFill>
            <a:blip xmlns:r="http://schemas.openxmlformats.org/officeDocument/2006/relationships" r:embed="rId9"/>
            <a:stretch>
              <a:fillRect/>
            </a:stretch>
          </xdr:blipFill>
          <xdr:spPr>
            <a:xfrm>
              <a:off x="6102359" y="1474470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100</xdr:row>
          <xdr:rowOff>0</xdr:rowOff>
        </xdr:from>
        <xdr:to>
          <xdr:col>4</xdr:col>
          <xdr:colOff>323351</xdr:colOff>
          <xdr:row>101</xdr:row>
          <xdr:rowOff>2667</xdr:rowOff>
        </xdr:to>
        <xdr:pic>
          <xdr:nvPicPr>
            <xdr:cNvPr id="56" name="Picture 55">
              <a:hlinkClick xmlns:r="http://schemas.openxmlformats.org/officeDocument/2006/relationships" r:id="rId23" tooltip="Go to monthly input"/>
              <a:extLst>
                <a:ext uri="{FF2B5EF4-FFF2-40B4-BE49-F238E27FC236}">
                  <a16:creationId xmlns:a16="http://schemas.microsoft.com/office/drawing/2014/main" id="{00000000-0008-0000-0F00-000038000000}"/>
                </a:ext>
              </a:extLst>
            </xdr:cNvPr>
            <xdr:cNvPicPr>
              <a:picLocks noChangeAspect="1"/>
              <a:extLst>
                <a:ext uri="{84589F7E-364E-4C9E-8A38-B11213B215E9}">
                  <a14:cameraTool cellRange="Picture" spid="_x0000_s14490"/>
                </a:ext>
              </a:extLst>
            </xdr:cNvPicPr>
          </xdr:nvPicPr>
          <xdr:blipFill>
            <a:blip xmlns:r="http://schemas.openxmlformats.org/officeDocument/2006/relationships" r:embed="rId9"/>
            <a:stretch>
              <a:fillRect/>
            </a:stretch>
          </xdr:blipFill>
          <xdr:spPr>
            <a:xfrm>
              <a:off x="6102359" y="1531620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101</xdr:row>
          <xdr:rowOff>0</xdr:rowOff>
        </xdr:from>
        <xdr:to>
          <xdr:col>4</xdr:col>
          <xdr:colOff>323351</xdr:colOff>
          <xdr:row>102</xdr:row>
          <xdr:rowOff>2667</xdr:rowOff>
        </xdr:to>
        <xdr:pic>
          <xdr:nvPicPr>
            <xdr:cNvPr id="57" name="Picture 56">
              <a:hlinkClick xmlns:r="http://schemas.openxmlformats.org/officeDocument/2006/relationships" r:id="rId24" tooltip="Go to monthly input"/>
              <a:extLst>
                <a:ext uri="{FF2B5EF4-FFF2-40B4-BE49-F238E27FC236}">
                  <a16:creationId xmlns:a16="http://schemas.microsoft.com/office/drawing/2014/main" id="{00000000-0008-0000-0F00-000039000000}"/>
                </a:ext>
              </a:extLst>
            </xdr:cNvPr>
            <xdr:cNvPicPr>
              <a:picLocks noChangeAspect="1"/>
              <a:extLst>
                <a:ext uri="{84589F7E-364E-4C9E-8A38-B11213B215E9}">
                  <a14:cameraTool cellRange="Picture" spid="_x0000_s14491"/>
                </a:ext>
              </a:extLst>
            </xdr:cNvPicPr>
          </xdr:nvPicPr>
          <xdr:blipFill>
            <a:blip xmlns:r="http://schemas.openxmlformats.org/officeDocument/2006/relationships" r:embed="rId9"/>
            <a:stretch>
              <a:fillRect/>
            </a:stretch>
          </xdr:blipFill>
          <xdr:spPr>
            <a:xfrm>
              <a:off x="6102359" y="1547812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102</xdr:row>
          <xdr:rowOff>0</xdr:rowOff>
        </xdr:from>
        <xdr:to>
          <xdr:col>4</xdr:col>
          <xdr:colOff>323351</xdr:colOff>
          <xdr:row>103</xdr:row>
          <xdr:rowOff>2668</xdr:rowOff>
        </xdr:to>
        <xdr:pic>
          <xdr:nvPicPr>
            <xdr:cNvPr id="58" name="Picture 57">
              <a:hlinkClick xmlns:r="http://schemas.openxmlformats.org/officeDocument/2006/relationships" r:id="rId25" tooltip="Go to monthly input"/>
              <a:extLst>
                <a:ext uri="{FF2B5EF4-FFF2-40B4-BE49-F238E27FC236}">
                  <a16:creationId xmlns:a16="http://schemas.microsoft.com/office/drawing/2014/main" id="{00000000-0008-0000-0F00-00003A000000}"/>
                </a:ext>
              </a:extLst>
            </xdr:cNvPr>
            <xdr:cNvPicPr>
              <a:picLocks noChangeAspect="1"/>
              <a:extLst>
                <a:ext uri="{84589F7E-364E-4C9E-8A38-B11213B215E9}">
                  <a14:cameraTool cellRange="Picture" spid="_x0000_s14492"/>
                </a:ext>
              </a:extLst>
            </xdr:cNvPicPr>
          </xdr:nvPicPr>
          <xdr:blipFill>
            <a:blip xmlns:r="http://schemas.openxmlformats.org/officeDocument/2006/relationships" r:embed="rId9"/>
            <a:stretch>
              <a:fillRect/>
            </a:stretch>
          </xdr:blipFill>
          <xdr:spPr>
            <a:xfrm>
              <a:off x="6102359" y="1564005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103</xdr:row>
          <xdr:rowOff>0</xdr:rowOff>
        </xdr:from>
        <xdr:to>
          <xdr:col>4</xdr:col>
          <xdr:colOff>323351</xdr:colOff>
          <xdr:row>104</xdr:row>
          <xdr:rowOff>2666</xdr:rowOff>
        </xdr:to>
        <xdr:pic>
          <xdr:nvPicPr>
            <xdr:cNvPr id="59" name="Picture 58">
              <a:hlinkClick xmlns:r="http://schemas.openxmlformats.org/officeDocument/2006/relationships" r:id="rId26" tooltip="Go to monthly input"/>
              <a:extLst>
                <a:ext uri="{FF2B5EF4-FFF2-40B4-BE49-F238E27FC236}">
                  <a16:creationId xmlns:a16="http://schemas.microsoft.com/office/drawing/2014/main" id="{00000000-0008-0000-0F00-00003B000000}"/>
                </a:ext>
              </a:extLst>
            </xdr:cNvPr>
            <xdr:cNvPicPr>
              <a:picLocks noChangeAspect="1"/>
              <a:extLst>
                <a:ext uri="{84589F7E-364E-4C9E-8A38-B11213B215E9}">
                  <a14:cameraTool cellRange="Picture" spid="_x0000_s14493"/>
                </a:ext>
              </a:extLst>
            </xdr:cNvPicPr>
          </xdr:nvPicPr>
          <xdr:blipFill>
            <a:blip xmlns:r="http://schemas.openxmlformats.org/officeDocument/2006/relationships" r:embed="rId9"/>
            <a:stretch>
              <a:fillRect/>
            </a:stretch>
          </xdr:blipFill>
          <xdr:spPr>
            <a:xfrm>
              <a:off x="6102359" y="1580197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105</xdr:row>
          <xdr:rowOff>0</xdr:rowOff>
        </xdr:from>
        <xdr:to>
          <xdr:col>4</xdr:col>
          <xdr:colOff>323351</xdr:colOff>
          <xdr:row>106</xdr:row>
          <xdr:rowOff>2666</xdr:rowOff>
        </xdr:to>
        <xdr:pic>
          <xdr:nvPicPr>
            <xdr:cNvPr id="60" name="Picture 59">
              <a:hlinkClick xmlns:r="http://schemas.openxmlformats.org/officeDocument/2006/relationships" r:id="rId27" tooltip="Go to monthly input"/>
              <a:extLst>
                <a:ext uri="{FF2B5EF4-FFF2-40B4-BE49-F238E27FC236}">
                  <a16:creationId xmlns:a16="http://schemas.microsoft.com/office/drawing/2014/main" id="{00000000-0008-0000-0F00-00003C000000}"/>
                </a:ext>
              </a:extLst>
            </xdr:cNvPr>
            <xdr:cNvPicPr>
              <a:picLocks noChangeAspect="1"/>
              <a:extLst>
                <a:ext uri="{84589F7E-364E-4C9E-8A38-B11213B215E9}">
                  <a14:cameraTool cellRange="Picture" spid="_x0000_s14494"/>
                </a:ext>
              </a:extLst>
            </xdr:cNvPicPr>
          </xdr:nvPicPr>
          <xdr:blipFill>
            <a:blip xmlns:r="http://schemas.openxmlformats.org/officeDocument/2006/relationships" r:embed="rId9"/>
            <a:stretch>
              <a:fillRect/>
            </a:stretch>
          </xdr:blipFill>
          <xdr:spPr>
            <a:xfrm>
              <a:off x="6102359" y="1612582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106</xdr:row>
          <xdr:rowOff>0</xdr:rowOff>
        </xdr:from>
        <xdr:to>
          <xdr:col>4</xdr:col>
          <xdr:colOff>323351</xdr:colOff>
          <xdr:row>107</xdr:row>
          <xdr:rowOff>2666</xdr:rowOff>
        </xdr:to>
        <xdr:pic>
          <xdr:nvPicPr>
            <xdr:cNvPr id="61" name="Picture 60">
              <a:hlinkClick xmlns:r="http://schemas.openxmlformats.org/officeDocument/2006/relationships" r:id="rId28" tooltip="Go to monthly input"/>
              <a:extLst>
                <a:ext uri="{FF2B5EF4-FFF2-40B4-BE49-F238E27FC236}">
                  <a16:creationId xmlns:a16="http://schemas.microsoft.com/office/drawing/2014/main" id="{00000000-0008-0000-0F00-00003D000000}"/>
                </a:ext>
              </a:extLst>
            </xdr:cNvPr>
            <xdr:cNvPicPr>
              <a:picLocks noChangeAspect="1"/>
              <a:extLst>
                <a:ext uri="{84589F7E-364E-4C9E-8A38-B11213B215E9}">
                  <a14:cameraTool cellRange="Picture" spid="_x0000_s14495"/>
                </a:ext>
              </a:extLst>
            </xdr:cNvPicPr>
          </xdr:nvPicPr>
          <xdr:blipFill>
            <a:blip xmlns:r="http://schemas.openxmlformats.org/officeDocument/2006/relationships" r:embed="rId9"/>
            <a:stretch>
              <a:fillRect/>
            </a:stretch>
          </xdr:blipFill>
          <xdr:spPr>
            <a:xfrm>
              <a:off x="6102359" y="1628775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107</xdr:row>
          <xdr:rowOff>0</xdr:rowOff>
        </xdr:from>
        <xdr:to>
          <xdr:col>4</xdr:col>
          <xdr:colOff>323351</xdr:colOff>
          <xdr:row>108</xdr:row>
          <xdr:rowOff>2669</xdr:rowOff>
        </xdr:to>
        <xdr:pic>
          <xdr:nvPicPr>
            <xdr:cNvPr id="62" name="Picture 61">
              <a:hlinkClick xmlns:r="http://schemas.openxmlformats.org/officeDocument/2006/relationships" r:id="rId29" tooltip="Go to monthly input"/>
              <a:extLst>
                <a:ext uri="{FF2B5EF4-FFF2-40B4-BE49-F238E27FC236}">
                  <a16:creationId xmlns:a16="http://schemas.microsoft.com/office/drawing/2014/main" id="{00000000-0008-0000-0F00-00003E000000}"/>
                </a:ext>
              </a:extLst>
            </xdr:cNvPr>
            <xdr:cNvPicPr>
              <a:picLocks noChangeAspect="1"/>
              <a:extLst>
                <a:ext uri="{84589F7E-364E-4C9E-8A38-B11213B215E9}">
                  <a14:cameraTool cellRange="Picture" spid="_x0000_s14496"/>
                </a:ext>
              </a:extLst>
            </xdr:cNvPicPr>
          </xdr:nvPicPr>
          <xdr:blipFill>
            <a:blip xmlns:r="http://schemas.openxmlformats.org/officeDocument/2006/relationships" r:embed="rId9"/>
            <a:stretch>
              <a:fillRect/>
            </a:stretch>
          </xdr:blipFill>
          <xdr:spPr>
            <a:xfrm>
              <a:off x="6102359" y="1644967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104</xdr:row>
          <xdr:rowOff>0</xdr:rowOff>
        </xdr:from>
        <xdr:to>
          <xdr:col>4</xdr:col>
          <xdr:colOff>323351</xdr:colOff>
          <xdr:row>105</xdr:row>
          <xdr:rowOff>2668</xdr:rowOff>
        </xdr:to>
        <xdr:pic>
          <xdr:nvPicPr>
            <xdr:cNvPr id="64" name="Picture 63">
              <a:hlinkClick xmlns:r="http://schemas.openxmlformats.org/officeDocument/2006/relationships" r:id="rId30" tooltip="Go to monthly input"/>
              <a:extLst>
                <a:ext uri="{FF2B5EF4-FFF2-40B4-BE49-F238E27FC236}">
                  <a16:creationId xmlns:a16="http://schemas.microsoft.com/office/drawing/2014/main" id="{00000000-0008-0000-0F00-000040000000}"/>
                </a:ext>
              </a:extLst>
            </xdr:cNvPr>
            <xdr:cNvPicPr>
              <a:picLocks noChangeAspect="1"/>
              <a:extLst>
                <a:ext uri="{84589F7E-364E-4C9E-8A38-B11213B215E9}">
                  <a14:cameraTool cellRange="Picture" spid="_x0000_s14497"/>
                </a:ext>
              </a:extLst>
            </xdr:cNvPicPr>
          </xdr:nvPicPr>
          <xdr:blipFill>
            <a:blip xmlns:r="http://schemas.openxmlformats.org/officeDocument/2006/relationships" r:embed="rId9"/>
            <a:stretch>
              <a:fillRect/>
            </a:stretch>
          </xdr:blipFill>
          <xdr:spPr>
            <a:xfrm>
              <a:off x="6102359" y="1596390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109</xdr:row>
          <xdr:rowOff>0</xdr:rowOff>
        </xdr:from>
        <xdr:to>
          <xdr:col>4</xdr:col>
          <xdr:colOff>323351</xdr:colOff>
          <xdr:row>110</xdr:row>
          <xdr:rowOff>5843</xdr:rowOff>
        </xdr:to>
        <xdr:pic>
          <xdr:nvPicPr>
            <xdr:cNvPr id="65" name="Picture 64">
              <a:hlinkClick xmlns:r="http://schemas.openxmlformats.org/officeDocument/2006/relationships" r:id="rId31" tooltip="Go to monthly input"/>
              <a:extLst>
                <a:ext uri="{FF2B5EF4-FFF2-40B4-BE49-F238E27FC236}">
                  <a16:creationId xmlns:a16="http://schemas.microsoft.com/office/drawing/2014/main" id="{00000000-0008-0000-0F00-000041000000}"/>
                </a:ext>
              </a:extLst>
            </xdr:cNvPr>
            <xdr:cNvPicPr>
              <a:picLocks noChangeAspect="1"/>
              <a:extLst>
                <a:ext uri="{84589F7E-364E-4C9E-8A38-B11213B215E9}">
                  <a14:cameraTool cellRange="Picture" spid="_x0000_s14498"/>
                </a:ext>
              </a:extLst>
            </xdr:cNvPicPr>
          </xdr:nvPicPr>
          <xdr:blipFill>
            <a:blip xmlns:r="http://schemas.openxmlformats.org/officeDocument/2006/relationships" r:embed="rId9"/>
            <a:stretch>
              <a:fillRect/>
            </a:stretch>
          </xdr:blipFill>
          <xdr:spPr>
            <a:xfrm>
              <a:off x="6103947" y="12184063"/>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113</xdr:row>
          <xdr:rowOff>0</xdr:rowOff>
        </xdr:from>
        <xdr:to>
          <xdr:col>4</xdr:col>
          <xdr:colOff>323351</xdr:colOff>
          <xdr:row>114</xdr:row>
          <xdr:rowOff>2667</xdr:rowOff>
        </xdr:to>
        <xdr:pic>
          <xdr:nvPicPr>
            <xdr:cNvPr id="66" name="Picture 65">
              <a:hlinkClick xmlns:r="http://schemas.openxmlformats.org/officeDocument/2006/relationships" r:id="rId32" tooltip="Go to monthly input"/>
              <a:extLst>
                <a:ext uri="{FF2B5EF4-FFF2-40B4-BE49-F238E27FC236}">
                  <a16:creationId xmlns:a16="http://schemas.microsoft.com/office/drawing/2014/main" id="{00000000-0008-0000-0F00-000042000000}"/>
                </a:ext>
              </a:extLst>
            </xdr:cNvPr>
            <xdr:cNvPicPr>
              <a:picLocks noChangeAspect="1"/>
              <a:extLst>
                <a:ext uri="{84589F7E-364E-4C9E-8A38-B11213B215E9}">
                  <a14:cameraTool cellRange="Picture" spid="_x0000_s14499"/>
                </a:ext>
              </a:extLst>
            </xdr:cNvPicPr>
          </xdr:nvPicPr>
          <xdr:blipFill>
            <a:blip xmlns:r="http://schemas.openxmlformats.org/officeDocument/2006/relationships" r:embed="rId9"/>
            <a:stretch>
              <a:fillRect/>
            </a:stretch>
          </xdr:blipFill>
          <xdr:spPr>
            <a:xfrm>
              <a:off x="6102359" y="1734502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114</xdr:row>
          <xdr:rowOff>0</xdr:rowOff>
        </xdr:from>
        <xdr:to>
          <xdr:col>4</xdr:col>
          <xdr:colOff>323351</xdr:colOff>
          <xdr:row>115</xdr:row>
          <xdr:rowOff>2667</xdr:rowOff>
        </xdr:to>
        <xdr:pic>
          <xdr:nvPicPr>
            <xdr:cNvPr id="67" name="Picture 66">
              <a:hlinkClick xmlns:r="http://schemas.openxmlformats.org/officeDocument/2006/relationships" r:id="rId33" tooltip="Go to monthly input"/>
              <a:extLst>
                <a:ext uri="{FF2B5EF4-FFF2-40B4-BE49-F238E27FC236}">
                  <a16:creationId xmlns:a16="http://schemas.microsoft.com/office/drawing/2014/main" id="{00000000-0008-0000-0F00-000043000000}"/>
                </a:ext>
              </a:extLst>
            </xdr:cNvPr>
            <xdr:cNvPicPr>
              <a:picLocks noChangeAspect="1"/>
              <a:extLst>
                <a:ext uri="{84589F7E-364E-4C9E-8A38-B11213B215E9}">
                  <a14:cameraTool cellRange="Picture" spid="_x0000_s14500"/>
                </a:ext>
              </a:extLst>
            </xdr:cNvPicPr>
          </xdr:nvPicPr>
          <xdr:blipFill>
            <a:blip xmlns:r="http://schemas.openxmlformats.org/officeDocument/2006/relationships" r:embed="rId9"/>
            <a:stretch>
              <a:fillRect/>
            </a:stretch>
          </xdr:blipFill>
          <xdr:spPr>
            <a:xfrm>
              <a:off x="6102359" y="1750695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115</xdr:row>
          <xdr:rowOff>0</xdr:rowOff>
        </xdr:from>
        <xdr:to>
          <xdr:col>4</xdr:col>
          <xdr:colOff>323351</xdr:colOff>
          <xdr:row>116</xdr:row>
          <xdr:rowOff>2668</xdr:rowOff>
        </xdr:to>
        <xdr:pic>
          <xdr:nvPicPr>
            <xdr:cNvPr id="68" name="Picture 67">
              <a:hlinkClick xmlns:r="http://schemas.openxmlformats.org/officeDocument/2006/relationships" r:id="rId34" tooltip="Go to monthly input"/>
              <a:extLst>
                <a:ext uri="{FF2B5EF4-FFF2-40B4-BE49-F238E27FC236}">
                  <a16:creationId xmlns:a16="http://schemas.microsoft.com/office/drawing/2014/main" id="{00000000-0008-0000-0F00-000044000000}"/>
                </a:ext>
              </a:extLst>
            </xdr:cNvPr>
            <xdr:cNvPicPr>
              <a:picLocks noChangeAspect="1"/>
              <a:extLst>
                <a:ext uri="{84589F7E-364E-4C9E-8A38-B11213B215E9}">
                  <a14:cameraTool cellRange="Picture" spid="_x0000_s14501"/>
                </a:ext>
              </a:extLst>
            </xdr:cNvPicPr>
          </xdr:nvPicPr>
          <xdr:blipFill>
            <a:blip xmlns:r="http://schemas.openxmlformats.org/officeDocument/2006/relationships" r:embed="rId9"/>
            <a:stretch>
              <a:fillRect/>
            </a:stretch>
          </xdr:blipFill>
          <xdr:spPr>
            <a:xfrm>
              <a:off x="6102359" y="1766887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116</xdr:row>
          <xdr:rowOff>0</xdr:rowOff>
        </xdr:from>
        <xdr:to>
          <xdr:col>4</xdr:col>
          <xdr:colOff>323351</xdr:colOff>
          <xdr:row>117</xdr:row>
          <xdr:rowOff>2666</xdr:rowOff>
        </xdr:to>
        <xdr:pic>
          <xdr:nvPicPr>
            <xdr:cNvPr id="69" name="Picture 68">
              <a:hlinkClick xmlns:r="http://schemas.openxmlformats.org/officeDocument/2006/relationships" r:id="rId35" tooltip="Go to monthly input"/>
              <a:extLst>
                <a:ext uri="{FF2B5EF4-FFF2-40B4-BE49-F238E27FC236}">
                  <a16:creationId xmlns:a16="http://schemas.microsoft.com/office/drawing/2014/main" id="{00000000-0008-0000-0F00-000045000000}"/>
                </a:ext>
              </a:extLst>
            </xdr:cNvPr>
            <xdr:cNvPicPr>
              <a:picLocks noChangeAspect="1"/>
              <a:extLst>
                <a:ext uri="{84589F7E-364E-4C9E-8A38-B11213B215E9}">
                  <a14:cameraTool cellRange="Picture" spid="_x0000_s14502"/>
                </a:ext>
              </a:extLst>
            </xdr:cNvPicPr>
          </xdr:nvPicPr>
          <xdr:blipFill>
            <a:blip xmlns:r="http://schemas.openxmlformats.org/officeDocument/2006/relationships" r:embed="rId9"/>
            <a:stretch>
              <a:fillRect/>
            </a:stretch>
          </xdr:blipFill>
          <xdr:spPr>
            <a:xfrm>
              <a:off x="6102359" y="1783080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117</xdr:row>
          <xdr:rowOff>0</xdr:rowOff>
        </xdr:from>
        <xdr:to>
          <xdr:col>4</xdr:col>
          <xdr:colOff>323351</xdr:colOff>
          <xdr:row>118</xdr:row>
          <xdr:rowOff>2667</xdr:rowOff>
        </xdr:to>
        <xdr:pic>
          <xdr:nvPicPr>
            <xdr:cNvPr id="70" name="Picture 69">
              <a:hlinkClick xmlns:r="http://schemas.openxmlformats.org/officeDocument/2006/relationships" r:id="rId36" tooltip="Go to monthly input"/>
              <a:extLst>
                <a:ext uri="{FF2B5EF4-FFF2-40B4-BE49-F238E27FC236}">
                  <a16:creationId xmlns:a16="http://schemas.microsoft.com/office/drawing/2014/main" id="{00000000-0008-0000-0F00-000046000000}"/>
                </a:ext>
              </a:extLst>
            </xdr:cNvPr>
            <xdr:cNvPicPr>
              <a:picLocks noChangeAspect="1"/>
              <a:extLst>
                <a:ext uri="{84589F7E-364E-4C9E-8A38-B11213B215E9}">
                  <a14:cameraTool cellRange="Picture" spid="_x0000_s14503"/>
                </a:ext>
              </a:extLst>
            </xdr:cNvPicPr>
          </xdr:nvPicPr>
          <xdr:blipFill>
            <a:blip xmlns:r="http://schemas.openxmlformats.org/officeDocument/2006/relationships" r:embed="rId9"/>
            <a:stretch>
              <a:fillRect/>
            </a:stretch>
          </xdr:blipFill>
          <xdr:spPr>
            <a:xfrm>
              <a:off x="6102359" y="1799272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119</xdr:row>
          <xdr:rowOff>0</xdr:rowOff>
        </xdr:from>
        <xdr:to>
          <xdr:col>4</xdr:col>
          <xdr:colOff>323351</xdr:colOff>
          <xdr:row>120</xdr:row>
          <xdr:rowOff>2669</xdr:rowOff>
        </xdr:to>
        <xdr:pic>
          <xdr:nvPicPr>
            <xdr:cNvPr id="71" name="Picture 70">
              <a:hlinkClick xmlns:r="http://schemas.openxmlformats.org/officeDocument/2006/relationships" r:id="rId37" tooltip="Go to monthly input"/>
              <a:extLst>
                <a:ext uri="{FF2B5EF4-FFF2-40B4-BE49-F238E27FC236}">
                  <a16:creationId xmlns:a16="http://schemas.microsoft.com/office/drawing/2014/main" id="{00000000-0008-0000-0F00-000047000000}"/>
                </a:ext>
              </a:extLst>
            </xdr:cNvPr>
            <xdr:cNvPicPr>
              <a:picLocks noChangeAspect="1"/>
              <a:extLst>
                <a:ext uri="{84589F7E-364E-4C9E-8A38-B11213B215E9}">
                  <a14:cameraTool cellRange="Picture" spid="_x0000_s14504"/>
                </a:ext>
              </a:extLst>
            </xdr:cNvPicPr>
          </xdr:nvPicPr>
          <xdr:blipFill>
            <a:blip xmlns:r="http://schemas.openxmlformats.org/officeDocument/2006/relationships" r:embed="rId9"/>
            <a:stretch>
              <a:fillRect/>
            </a:stretch>
          </xdr:blipFill>
          <xdr:spPr>
            <a:xfrm>
              <a:off x="6102359" y="1831657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120</xdr:row>
          <xdr:rowOff>0</xdr:rowOff>
        </xdr:from>
        <xdr:to>
          <xdr:col>4</xdr:col>
          <xdr:colOff>323351</xdr:colOff>
          <xdr:row>121</xdr:row>
          <xdr:rowOff>5839</xdr:rowOff>
        </xdr:to>
        <xdr:pic>
          <xdr:nvPicPr>
            <xdr:cNvPr id="72" name="Picture 71">
              <a:hlinkClick xmlns:r="http://schemas.openxmlformats.org/officeDocument/2006/relationships" r:id="rId38" tooltip="Go to monthly input"/>
              <a:extLst>
                <a:ext uri="{FF2B5EF4-FFF2-40B4-BE49-F238E27FC236}">
                  <a16:creationId xmlns:a16="http://schemas.microsoft.com/office/drawing/2014/main" id="{00000000-0008-0000-0F00-000048000000}"/>
                </a:ext>
              </a:extLst>
            </xdr:cNvPr>
            <xdr:cNvPicPr>
              <a:picLocks noChangeAspect="1"/>
              <a:extLst>
                <a:ext uri="{84589F7E-364E-4C9E-8A38-B11213B215E9}">
                  <a14:cameraTool cellRange="Picture" spid="_x0000_s14505"/>
                </a:ext>
              </a:extLst>
            </xdr:cNvPicPr>
          </xdr:nvPicPr>
          <xdr:blipFill>
            <a:blip xmlns:r="http://schemas.openxmlformats.org/officeDocument/2006/relationships" r:embed="rId9"/>
            <a:stretch>
              <a:fillRect/>
            </a:stretch>
          </xdr:blipFill>
          <xdr:spPr>
            <a:xfrm>
              <a:off x="6103947" y="1370012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171</xdr:row>
          <xdr:rowOff>0</xdr:rowOff>
        </xdr:from>
        <xdr:to>
          <xdr:col>4</xdr:col>
          <xdr:colOff>323351</xdr:colOff>
          <xdr:row>172</xdr:row>
          <xdr:rowOff>2667</xdr:rowOff>
        </xdr:to>
        <xdr:pic>
          <xdr:nvPicPr>
            <xdr:cNvPr id="73" name="Picture 72">
              <a:hlinkClick xmlns:r="http://schemas.openxmlformats.org/officeDocument/2006/relationships" r:id="rId39" tooltip="Go to monthly input"/>
              <a:extLst>
                <a:ext uri="{FF2B5EF4-FFF2-40B4-BE49-F238E27FC236}">
                  <a16:creationId xmlns:a16="http://schemas.microsoft.com/office/drawing/2014/main" id="{00000000-0008-0000-0F00-000049000000}"/>
                </a:ext>
              </a:extLst>
            </xdr:cNvPr>
            <xdr:cNvPicPr>
              <a:picLocks noChangeAspect="1"/>
              <a:extLst>
                <a:ext uri="{84589F7E-364E-4C9E-8A38-B11213B215E9}">
                  <a14:cameraTool cellRange="Picture" spid="_x0000_s14506"/>
                </a:ext>
              </a:extLst>
            </xdr:cNvPicPr>
          </xdr:nvPicPr>
          <xdr:blipFill>
            <a:blip xmlns:r="http://schemas.openxmlformats.org/officeDocument/2006/relationships" r:embed="rId9"/>
            <a:stretch>
              <a:fillRect/>
            </a:stretch>
          </xdr:blipFill>
          <xdr:spPr>
            <a:xfrm>
              <a:off x="6102359" y="1975485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188</xdr:row>
          <xdr:rowOff>0</xdr:rowOff>
        </xdr:from>
        <xdr:to>
          <xdr:col>4</xdr:col>
          <xdr:colOff>323351</xdr:colOff>
          <xdr:row>189</xdr:row>
          <xdr:rowOff>2666</xdr:rowOff>
        </xdr:to>
        <xdr:pic>
          <xdr:nvPicPr>
            <xdr:cNvPr id="75" name="Picture 74">
              <a:hlinkClick xmlns:r="http://schemas.openxmlformats.org/officeDocument/2006/relationships" r:id="rId40" tooltip="Go to monthly input"/>
              <a:extLst>
                <a:ext uri="{FF2B5EF4-FFF2-40B4-BE49-F238E27FC236}">
                  <a16:creationId xmlns:a16="http://schemas.microsoft.com/office/drawing/2014/main" id="{00000000-0008-0000-0F00-00004B000000}"/>
                </a:ext>
              </a:extLst>
            </xdr:cNvPr>
            <xdr:cNvPicPr>
              <a:picLocks noChangeAspect="1"/>
              <a:extLst>
                <a:ext uri="{84589F7E-364E-4C9E-8A38-B11213B215E9}">
                  <a14:cameraTool cellRange="Picture" spid="_x0000_s14507"/>
                </a:ext>
              </a:extLst>
            </xdr:cNvPicPr>
          </xdr:nvPicPr>
          <xdr:blipFill>
            <a:blip xmlns:r="http://schemas.openxmlformats.org/officeDocument/2006/relationships" r:embed="rId9"/>
            <a:stretch>
              <a:fillRect/>
            </a:stretch>
          </xdr:blipFill>
          <xdr:spPr>
            <a:xfrm>
              <a:off x="6102359" y="2241232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189</xdr:row>
          <xdr:rowOff>0</xdr:rowOff>
        </xdr:from>
        <xdr:to>
          <xdr:col>4</xdr:col>
          <xdr:colOff>323351</xdr:colOff>
          <xdr:row>190</xdr:row>
          <xdr:rowOff>2670</xdr:rowOff>
        </xdr:to>
        <xdr:pic>
          <xdr:nvPicPr>
            <xdr:cNvPr id="76" name="Picture 75">
              <a:hlinkClick xmlns:r="http://schemas.openxmlformats.org/officeDocument/2006/relationships" r:id="rId41" tooltip="Go to monthly input"/>
              <a:extLst>
                <a:ext uri="{FF2B5EF4-FFF2-40B4-BE49-F238E27FC236}">
                  <a16:creationId xmlns:a16="http://schemas.microsoft.com/office/drawing/2014/main" id="{00000000-0008-0000-0F00-00004C000000}"/>
                </a:ext>
              </a:extLst>
            </xdr:cNvPr>
            <xdr:cNvPicPr>
              <a:picLocks noChangeAspect="1"/>
              <a:extLst>
                <a:ext uri="{84589F7E-364E-4C9E-8A38-B11213B215E9}">
                  <a14:cameraTool cellRange="Picture" spid="_x0000_s14508"/>
                </a:ext>
              </a:extLst>
            </xdr:cNvPicPr>
          </xdr:nvPicPr>
          <xdr:blipFill>
            <a:blip xmlns:r="http://schemas.openxmlformats.org/officeDocument/2006/relationships" r:embed="rId9"/>
            <a:stretch>
              <a:fillRect/>
            </a:stretch>
          </xdr:blipFill>
          <xdr:spPr>
            <a:xfrm>
              <a:off x="6102359" y="2257425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190</xdr:row>
          <xdr:rowOff>0</xdr:rowOff>
        </xdr:from>
        <xdr:to>
          <xdr:col>4</xdr:col>
          <xdr:colOff>323351</xdr:colOff>
          <xdr:row>191</xdr:row>
          <xdr:rowOff>2665</xdr:rowOff>
        </xdr:to>
        <xdr:pic>
          <xdr:nvPicPr>
            <xdr:cNvPr id="77" name="Picture 76">
              <a:hlinkClick xmlns:r="http://schemas.openxmlformats.org/officeDocument/2006/relationships" r:id="rId42" tooltip="Go to monthly input"/>
              <a:extLst>
                <a:ext uri="{FF2B5EF4-FFF2-40B4-BE49-F238E27FC236}">
                  <a16:creationId xmlns:a16="http://schemas.microsoft.com/office/drawing/2014/main" id="{00000000-0008-0000-0F00-00004D000000}"/>
                </a:ext>
              </a:extLst>
            </xdr:cNvPr>
            <xdr:cNvPicPr>
              <a:picLocks noChangeAspect="1"/>
              <a:extLst>
                <a:ext uri="{84589F7E-364E-4C9E-8A38-B11213B215E9}">
                  <a14:cameraTool cellRange="Picture" spid="_x0000_s14509"/>
                </a:ext>
              </a:extLst>
            </xdr:cNvPicPr>
          </xdr:nvPicPr>
          <xdr:blipFill>
            <a:blip xmlns:r="http://schemas.openxmlformats.org/officeDocument/2006/relationships" r:embed="rId9"/>
            <a:stretch>
              <a:fillRect/>
            </a:stretch>
          </xdr:blipFill>
          <xdr:spPr>
            <a:xfrm>
              <a:off x="6102359" y="2273617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194</xdr:row>
          <xdr:rowOff>0</xdr:rowOff>
        </xdr:from>
        <xdr:to>
          <xdr:col>4</xdr:col>
          <xdr:colOff>323351</xdr:colOff>
          <xdr:row>195</xdr:row>
          <xdr:rowOff>2666</xdr:rowOff>
        </xdr:to>
        <xdr:pic>
          <xdr:nvPicPr>
            <xdr:cNvPr id="78" name="Picture 77">
              <a:hlinkClick xmlns:r="http://schemas.openxmlformats.org/officeDocument/2006/relationships" r:id="rId43" tooltip="Go to monthly input"/>
              <a:extLst>
                <a:ext uri="{FF2B5EF4-FFF2-40B4-BE49-F238E27FC236}">
                  <a16:creationId xmlns:a16="http://schemas.microsoft.com/office/drawing/2014/main" id="{00000000-0008-0000-0F00-00004E000000}"/>
                </a:ext>
              </a:extLst>
            </xdr:cNvPr>
            <xdr:cNvPicPr>
              <a:picLocks noChangeAspect="1"/>
              <a:extLst>
                <a:ext uri="{84589F7E-364E-4C9E-8A38-B11213B215E9}">
                  <a14:cameraTool cellRange="Picture" spid="_x0000_s14510"/>
                </a:ext>
              </a:extLst>
            </xdr:cNvPicPr>
          </xdr:nvPicPr>
          <xdr:blipFill>
            <a:blip xmlns:r="http://schemas.openxmlformats.org/officeDocument/2006/relationships" r:embed="rId9"/>
            <a:stretch>
              <a:fillRect/>
            </a:stretch>
          </xdr:blipFill>
          <xdr:spPr>
            <a:xfrm>
              <a:off x="6461588" y="23741743"/>
              <a:ext cx="164592" cy="160510"/>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198</xdr:row>
          <xdr:rowOff>0</xdr:rowOff>
        </xdr:from>
        <xdr:to>
          <xdr:col>4</xdr:col>
          <xdr:colOff>323351</xdr:colOff>
          <xdr:row>199</xdr:row>
          <xdr:rowOff>2665</xdr:rowOff>
        </xdr:to>
        <xdr:pic>
          <xdr:nvPicPr>
            <xdr:cNvPr id="79" name="Picture 78">
              <a:hlinkClick xmlns:r="http://schemas.openxmlformats.org/officeDocument/2006/relationships" r:id="rId44" tooltip="Go to monthly input"/>
              <a:extLst>
                <a:ext uri="{FF2B5EF4-FFF2-40B4-BE49-F238E27FC236}">
                  <a16:creationId xmlns:a16="http://schemas.microsoft.com/office/drawing/2014/main" id="{00000000-0008-0000-0F00-00004F000000}"/>
                </a:ext>
              </a:extLst>
            </xdr:cNvPr>
            <xdr:cNvPicPr>
              <a:picLocks noChangeAspect="1"/>
              <a:extLst>
                <a:ext uri="{84589F7E-364E-4C9E-8A38-B11213B215E9}">
                  <a14:cameraTool cellRange="Picture" spid="_x0000_s14511"/>
                </a:ext>
              </a:extLst>
            </xdr:cNvPicPr>
          </xdr:nvPicPr>
          <xdr:blipFill>
            <a:blip xmlns:r="http://schemas.openxmlformats.org/officeDocument/2006/relationships" r:embed="rId9"/>
            <a:stretch>
              <a:fillRect/>
            </a:stretch>
          </xdr:blipFill>
          <xdr:spPr>
            <a:xfrm>
              <a:off x="6102359" y="2379345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199</xdr:row>
          <xdr:rowOff>0</xdr:rowOff>
        </xdr:from>
        <xdr:to>
          <xdr:col>4</xdr:col>
          <xdr:colOff>323351</xdr:colOff>
          <xdr:row>200</xdr:row>
          <xdr:rowOff>2668</xdr:rowOff>
        </xdr:to>
        <xdr:pic>
          <xdr:nvPicPr>
            <xdr:cNvPr id="80" name="Picture 79">
              <a:hlinkClick xmlns:r="http://schemas.openxmlformats.org/officeDocument/2006/relationships" r:id="rId45" tooltip="Go to monthly input"/>
              <a:extLst>
                <a:ext uri="{FF2B5EF4-FFF2-40B4-BE49-F238E27FC236}">
                  <a16:creationId xmlns:a16="http://schemas.microsoft.com/office/drawing/2014/main" id="{00000000-0008-0000-0F00-000050000000}"/>
                </a:ext>
              </a:extLst>
            </xdr:cNvPr>
            <xdr:cNvPicPr>
              <a:picLocks noChangeAspect="1"/>
              <a:extLst>
                <a:ext uri="{84589F7E-364E-4C9E-8A38-B11213B215E9}">
                  <a14:cameraTool cellRange="Picture" spid="_x0000_s14512"/>
                </a:ext>
              </a:extLst>
            </xdr:cNvPicPr>
          </xdr:nvPicPr>
          <xdr:blipFill>
            <a:blip xmlns:r="http://schemas.openxmlformats.org/officeDocument/2006/relationships" r:embed="rId9"/>
            <a:stretch>
              <a:fillRect/>
            </a:stretch>
          </xdr:blipFill>
          <xdr:spPr>
            <a:xfrm>
              <a:off x="6102359" y="2395537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200</xdr:row>
          <xdr:rowOff>0</xdr:rowOff>
        </xdr:from>
        <xdr:to>
          <xdr:col>4</xdr:col>
          <xdr:colOff>323351</xdr:colOff>
          <xdr:row>201</xdr:row>
          <xdr:rowOff>2668</xdr:rowOff>
        </xdr:to>
        <xdr:pic>
          <xdr:nvPicPr>
            <xdr:cNvPr id="81" name="Picture 80">
              <a:hlinkClick xmlns:r="http://schemas.openxmlformats.org/officeDocument/2006/relationships" r:id="rId46" tooltip="Go to monthly input"/>
              <a:extLst>
                <a:ext uri="{FF2B5EF4-FFF2-40B4-BE49-F238E27FC236}">
                  <a16:creationId xmlns:a16="http://schemas.microsoft.com/office/drawing/2014/main" id="{00000000-0008-0000-0F00-000051000000}"/>
                </a:ext>
              </a:extLst>
            </xdr:cNvPr>
            <xdr:cNvPicPr>
              <a:picLocks noChangeAspect="1"/>
              <a:extLst>
                <a:ext uri="{84589F7E-364E-4C9E-8A38-B11213B215E9}">
                  <a14:cameraTool cellRange="Picture" spid="_x0000_s14513"/>
                </a:ext>
              </a:extLst>
            </xdr:cNvPicPr>
          </xdr:nvPicPr>
          <xdr:blipFill>
            <a:blip xmlns:r="http://schemas.openxmlformats.org/officeDocument/2006/relationships" r:embed="rId9"/>
            <a:stretch>
              <a:fillRect/>
            </a:stretch>
          </xdr:blipFill>
          <xdr:spPr>
            <a:xfrm>
              <a:off x="6102359" y="2411730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203</xdr:row>
          <xdr:rowOff>0</xdr:rowOff>
        </xdr:from>
        <xdr:to>
          <xdr:col>4</xdr:col>
          <xdr:colOff>323351</xdr:colOff>
          <xdr:row>204</xdr:row>
          <xdr:rowOff>2667</xdr:rowOff>
        </xdr:to>
        <xdr:pic>
          <xdr:nvPicPr>
            <xdr:cNvPr id="82" name="Picture 81">
              <a:hlinkClick xmlns:r="http://schemas.openxmlformats.org/officeDocument/2006/relationships" r:id="rId47" tooltip="Go to monthly input"/>
              <a:extLst>
                <a:ext uri="{FF2B5EF4-FFF2-40B4-BE49-F238E27FC236}">
                  <a16:creationId xmlns:a16="http://schemas.microsoft.com/office/drawing/2014/main" id="{00000000-0008-0000-0F00-000052000000}"/>
                </a:ext>
              </a:extLst>
            </xdr:cNvPr>
            <xdr:cNvPicPr>
              <a:picLocks noChangeAspect="1"/>
              <a:extLst>
                <a:ext uri="{84589F7E-364E-4C9E-8A38-B11213B215E9}">
                  <a14:cameraTool cellRange="Picture" spid="_x0000_s14514"/>
                </a:ext>
              </a:extLst>
            </xdr:cNvPicPr>
          </xdr:nvPicPr>
          <xdr:blipFill>
            <a:blip xmlns:r="http://schemas.openxmlformats.org/officeDocument/2006/relationships" r:embed="rId9"/>
            <a:stretch>
              <a:fillRect/>
            </a:stretch>
          </xdr:blipFill>
          <xdr:spPr>
            <a:xfrm>
              <a:off x="6102359" y="2460307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208</xdr:row>
          <xdr:rowOff>0</xdr:rowOff>
        </xdr:from>
        <xdr:to>
          <xdr:col>4</xdr:col>
          <xdr:colOff>323351</xdr:colOff>
          <xdr:row>209</xdr:row>
          <xdr:rowOff>2669</xdr:rowOff>
        </xdr:to>
        <xdr:pic>
          <xdr:nvPicPr>
            <xdr:cNvPr id="83" name="Picture 82">
              <a:hlinkClick xmlns:r="http://schemas.openxmlformats.org/officeDocument/2006/relationships" r:id="rId48" tooltip="Go to monthly input"/>
              <a:extLst>
                <a:ext uri="{FF2B5EF4-FFF2-40B4-BE49-F238E27FC236}">
                  <a16:creationId xmlns:a16="http://schemas.microsoft.com/office/drawing/2014/main" id="{00000000-0008-0000-0F00-000053000000}"/>
                </a:ext>
              </a:extLst>
            </xdr:cNvPr>
            <xdr:cNvPicPr>
              <a:picLocks noChangeAspect="1"/>
              <a:extLst>
                <a:ext uri="{84589F7E-364E-4C9E-8A38-B11213B215E9}">
                  <a14:cameraTool cellRange="Picture" spid="_x0000_s14515"/>
                </a:ext>
              </a:extLst>
            </xdr:cNvPicPr>
          </xdr:nvPicPr>
          <xdr:blipFill>
            <a:blip xmlns:r="http://schemas.openxmlformats.org/officeDocument/2006/relationships" r:embed="rId9"/>
            <a:stretch>
              <a:fillRect/>
            </a:stretch>
          </xdr:blipFill>
          <xdr:spPr>
            <a:xfrm>
              <a:off x="6102359" y="2541270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213</xdr:row>
          <xdr:rowOff>0</xdr:rowOff>
        </xdr:from>
        <xdr:to>
          <xdr:col>4</xdr:col>
          <xdr:colOff>323351</xdr:colOff>
          <xdr:row>214</xdr:row>
          <xdr:rowOff>2665</xdr:rowOff>
        </xdr:to>
        <xdr:pic>
          <xdr:nvPicPr>
            <xdr:cNvPr id="84" name="Picture 83">
              <a:hlinkClick xmlns:r="http://schemas.openxmlformats.org/officeDocument/2006/relationships" r:id="rId49" tooltip="Go to monthly input"/>
              <a:extLst>
                <a:ext uri="{FF2B5EF4-FFF2-40B4-BE49-F238E27FC236}">
                  <a16:creationId xmlns:a16="http://schemas.microsoft.com/office/drawing/2014/main" id="{00000000-0008-0000-0F00-000054000000}"/>
                </a:ext>
              </a:extLst>
            </xdr:cNvPr>
            <xdr:cNvPicPr>
              <a:picLocks noChangeAspect="1"/>
              <a:extLst>
                <a:ext uri="{84589F7E-364E-4C9E-8A38-B11213B215E9}">
                  <a14:cameraTool cellRange="Picture" spid="_x0000_s14516"/>
                </a:ext>
              </a:extLst>
            </xdr:cNvPicPr>
          </xdr:nvPicPr>
          <xdr:blipFill>
            <a:blip xmlns:r="http://schemas.openxmlformats.org/officeDocument/2006/relationships" r:embed="rId9"/>
            <a:stretch>
              <a:fillRect/>
            </a:stretch>
          </xdr:blipFill>
          <xdr:spPr>
            <a:xfrm>
              <a:off x="6102359" y="2622232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214</xdr:row>
          <xdr:rowOff>0</xdr:rowOff>
        </xdr:from>
        <xdr:to>
          <xdr:col>4</xdr:col>
          <xdr:colOff>323351</xdr:colOff>
          <xdr:row>215</xdr:row>
          <xdr:rowOff>2668</xdr:rowOff>
        </xdr:to>
        <xdr:pic>
          <xdr:nvPicPr>
            <xdr:cNvPr id="85" name="Picture 84">
              <a:hlinkClick xmlns:r="http://schemas.openxmlformats.org/officeDocument/2006/relationships" r:id="rId50" tooltip="Go to monthly input"/>
              <a:extLst>
                <a:ext uri="{FF2B5EF4-FFF2-40B4-BE49-F238E27FC236}">
                  <a16:creationId xmlns:a16="http://schemas.microsoft.com/office/drawing/2014/main" id="{00000000-0008-0000-0F00-000055000000}"/>
                </a:ext>
              </a:extLst>
            </xdr:cNvPr>
            <xdr:cNvPicPr>
              <a:picLocks noChangeAspect="1"/>
              <a:extLst>
                <a:ext uri="{84589F7E-364E-4C9E-8A38-B11213B215E9}">
                  <a14:cameraTool cellRange="Picture" spid="_x0000_s14517"/>
                </a:ext>
              </a:extLst>
            </xdr:cNvPicPr>
          </xdr:nvPicPr>
          <xdr:blipFill>
            <a:blip xmlns:r="http://schemas.openxmlformats.org/officeDocument/2006/relationships" r:embed="rId9"/>
            <a:stretch>
              <a:fillRect/>
            </a:stretch>
          </xdr:blipFill>
          <xdr:spPr>
            <a:xfrm>
              <a:off x="6102359" y="2638425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217</xdr:row>
          <xdr:rowOff>0</xdr:rowOff>
        </xdr:from>
        <xdr:to>
          <xdr:col>4</xdr:col>
          <xdr:colOff>323351</xdr:colOff>
          <xdr:row>218</xdr:row>
          <xdr:rowOff>2668</xdr:rowOff>
        </xdr:to>
        <xdr:pic>
          <xdr:nvPicPr>
            <xdr:cNvPr id="86" name="Picture 85">
              <a:hlinkClick xmlns:r="http://schemas.openxmlformats.org/officeDocument/2006/relationships" r:id="rId51" tooltip="Go to monthly input"/>
              <a:extLst>
                <a:ext uri="{FF2B5EF4-FFF2-40B4-BE49-F238E27FC236}">
                  <a16:creationId xmlns:a16="http://schemas.microsoft.com/office/drawing/2014/main" id="{00000000-0008-0000-0F00-000056000000}"/>
                </a:ext>
              </a:extLst>
            </xdr:cNvPr>
            <xdr:cNvPicPr>
              <a:picLocks noChangeAspect="1"/>
              <a:extLst>
                <a:ext uri="{84589F7E-364E-4C9E-8A38-B11213B215E9}">
                  <a14:cameraTool cellRange="Picture" spid="_x0000_s14518"/>
                </a:ext>
              </a:extLst>
            </xdr:cNvPicPr>
          </xdr:nvPicPr>
          <xdr:blipFill>
            <a:blip xmlns:r="http://schemas.openxmlformats.org/officeDocument/2006/relationships" r:embed="rId9"/>
            <a:stretch>
              <a:fillRect/>
            </a:stretch>
          </xdr:blipFill>
          <xdr:spPr>
            <a:xfrm>
              <a:off x="6102359" y="2687002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223</xdr:row>
          <xdr:rowOff>0</xdr:rowOff>
        </xdr:from>
        <xdr:to>
          <xdr:col>4</xdr:col>
          <xdr:colOff>323351</xdr:colOff>
          <xdr:row>224</xdr:row>
          <xdr:rowOff>5845</xdr:rowOff>
        </xdr:to>
        <xdr:pic>
          <xdr:nvPicPr>
            <xdr:cNvPr id="87" name="Picture 86">
              <a:hlinkClick xmlns:r="http://schemas.openxmlformats.org/officeDocument/2006/relationships" r:id="rId52" tooltip="Go to monthly input"/>
              <a:extLst>
                <a:ext uri="{FF2B5EF4-FFF2-40B4-BE49-F238E27FC236}">
                  <a16:creationId xmlns:a16="http://schemas.microsoft.com/office/drawing/2014/main" id="{00000000-0008-0000-0F00-000057000000}"/>
                </a:ext>
              </a:extLst>
            </xdr:cNvPr>
            <xdr:cNvPicPr>
              <a:picLocks noChangeAspect="1"/>
              <a:extLst>
                <a:ext uri="{84589F7E-364E-4C9E-8A38-B11213B215E9}">
                  <a14:cameraTool cellRange="Picture" spid="_x0000_s14519"/>
                </a:ext>
              </a:extLst>
            </xdr:cNvPicPr>
          </xdr:nvPicPr>
          <xdr:blipFill>
            <a:blip xmlns:r="http://schemas.openxmlformats.org/officeDocument/2006/relationships" r:embed="rId9"/>
            <a:stretch>
              <a:fillRect/>
            </a:stretch>
          </xdr:blipFill>
          <xdr:spPr>
            <a:xfrm>
              <a:off x="6103947" y="18454688"/>
              <a:ext cx="164592" cy="164592"/>
            </a:xfrm>
            <a:prstGeom prst="rect">
              <a:avLst/>
            </a:prstGeom>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223</xdr:row>
          <xdr:rowOff>0</xdr:rowOff>
        </xdr:from>
        <xdr:to>
          <xdr:col>4</xdr:col>
          <xdr:colOff>323351</xdr:colOff>
          <xdr:row>224</xdr:row>
          <xdr:rowOff>2669</xdr:rowOff>
        </xdr:to>
        <xdr:pic>
          <xdr:nvPicPr>
            <xdr:cNvPr id="88" name="Picture 87">
              <a:hlinkClick xmlns:r="http://schemas.openxmlformats.org/officeDocument/2006/relationships" r:id="rId53" tooltip="Go to monthly input"/>
              <a:extLst>
                <a:ext uri="{FF2B5EF4-FFF2-40B4-BE49-F238E27FC236}">
                  <a16:creationId xmlns:a16="http://schemas.microsoft.com/office/drawing/2014/main" id="{00000000-0008-0000-0F00-000058000000}"/>
                </a:ext>
              </a:extLst>
            </xdr:cNvPr>
            <xdr:cNvPicPr>
              <a:picLocks noChangeAspect="1"/>
              <a:extLst>
                <a:ext uri="{84589F7E-364E-4C9E-8A38-B11213B215E9}">
                  <a14:cameraTool cellRange="Picture" spid="_x0000_s14520"/>
                </a:ext>
              </a:extLst>
            </xdr:cNvPicPr>
          </xdr:nvPicPr>
          <xdr:blipFill>
            <a:blip xmlns:r="http://schemas.openxmlformats.org/officeDocument/2006/relationships" r:embed="rId9"/>
            <a:stretch>
              <a:fillRect/>
            </a:stretch>
          </xdr:blipFill>
          <xdr:spPr>
            <a:xfrm>
              <a:off x="6102359" y="2735580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224</xdr:row>
          <xdr:rowOff>0</xdr:rowOff>
        </xdr:from>
        <xdr:to>
          <xdr:col>4</xdr:col>
          <xdr:colOff>323351</xdr:colOff>
          <xdr:row>224</xdr:row>
          <xdr:rowOff>164592</xdr:rowOff>
        </xdr:to>
        <xdr:pic>
          <xdr:nvPicPr>
            <xdr:cNvPr id="89" name="Picture 88">
              <a:hlinkClick xmlns:r="http://schemas.openxmlformats.org/officeDocument/2006/relationships" r:id="rId54" tooltip="Go to monthly input"/>
              <a:extLst>
                <a:ext uri="{FF2B5EF4-FFF2-40B4-BE49-F238E27FC236}">
                  <a16:creationId xmlns:a16="http://schemas.microsoft.com/office/drawing/2014/main" id="{00000000-0008-0000-0F00-000059000000}"/>
                </a:ext>
              </a:extLst>
            </xdr:cNvPr>
            <xdr:cNvPicPr>
              <a:picLocks noChangeAspect="1"/>
              <a:extLst>
                <a:ext uri="{84589F7E-364E-4C9E-8A38-B11213B215E9}">
                  <a14:cameraTool cellRange="Picture" spid="_x0000_s14521"/>
                </a:ext>
              </a:extLst>
            </xdr:cNvPicPr>
          </xdr:nvPicPr>
          <xdr:blipFill>
            <a:blip xmlns:r="http://schemas.openxmlformats.org/officeDocument/2006/relationships" r:embed="rId9"/>
            <a:stretch>
              <a:fillRect/>
            </a:stretch>
          </xdr:blipFill>
          <xdr:spPr>
            <a:xfrm>
              <a:off x="6102359" y="2751772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150</xdr:row>
          <xdr:rowOff>0</xdr:rowOff>
        </xdr:from>
        <xdr:to>
          <xdr:col>4</xdr:col>
          <xdr:colOff>323351</xdr:colOff>
          <xdr:row>151</xdr:row>
          <xdr:rowOff>6899</xdr:rowOff>
        </xdr:to>
        <xdr:pic>
          <xdr:nvPicPr>
            <xdr:cNvPr id="90" name="Picture 89">
              <a:hlinkClick xmlns:r="http://schemas.openxmlformats.org/officeDocument/2006/relationships" r:id="rId55" tooltip="Go to monthly input"/>
              <a:extLst>
                <a:ext uri="{FF2B5EF4-FFF2-40B4-BE49-F238E27FC236}">
                  <a16:creationId xmlns:a16="http://schemas.microsoft.com/office/drawing/2014/main" id="{00000000-0008-0000-0F00-00005A000000}"/>
                </a:ext>
              </a:extLst>
            </xdr:cNvPr>
            <xdr:cNvPicPr>
              <a:picLocks noChangeAspect="1"/>
              <a:extLst>
                <a:ext uri="{84589F7E-364E-4C9E-8A38-B11213B215E9}">
                  <a14:cameraTool cellRange="Picture" spid="_x0000_s14522"/>
                </a:ext>
              </a:extLst>
            </xdr:cNvPicPr>
          </xdr:nvPicPr>
          <xdr:blipFill>
            <a:blip xmlns:r="http://schemas.openxmlformats.org/officeDocument/2006/relationships" r:embed="rId9"/>
            <a:stretch>
              <a:fillRect/>
            </a:stretch>
          </xdr:blipFill>
          <xdr:spPr>
            <a:xfrm>
              <a:off x="6530984" y="8062913"/>
              <a:ext cx="164592" cy="167767"/>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152</xdr:row>
          <xdr:rowOff>0</xdr:rowOff>
        </xdr:from>
        <xdr:to>
          <xdr:col>4</xdr:col>
          <xdr:colOff>323351</xdr:colOff>
          <xdr:row>153</xdr:row>
          <xdr:rowOff>6902</xdr:rowOff>
        </xdr:to>
        <xdr:pic>
          <xdr:nvPicPr>
            <xdr:cNvPr id="91" name="Picture 90">
              <a:hlinkClick xmlns:r="http://schemas.openxmlformats.org/officeDocument/2006/relationships" r:id="rId56" tooltip="Go to monthly input"/>
              <a:extLst>
                <a:ext uri="{FF2B5EF4-FFF2-40B4-BE49-F238E27FC236}">
                  <a16:creationId xmlns:a16="http://schemas.microsoft.com/office/drawing/2014/main" id="{00000000-0008-0000-0F00-00005B000000}"/>
                </a:ext>
              </a:extLst>
            </xdr:cNvPr>
            <xdr:cNvPicPr>
              <a:picLocks noChangeAspect="1"/>
              <a:extLst>
                <a:ext uri="{84589F7E-364E-4C9E-8A38-B11213B215E9}">
                  <a14:cameraTool cellRange="Picture" spid="_x0000_s14523"/>
                </a:ext>
              </a:extLst>
            </xdr:cNvPicPr>
          </xdr:nvPicPr>
          <xdr:blipFill>
            <a:blip xmlns:r="http://schemas.openxmlformats.org/officeDocument/2006/relationships" r:embed="rId9"/>
            <a:stretch>
              <a:fillRect/>
            </a:stretch>
          </xdr:blipFill>
          <xdr:spPr>
            <a:xfrm>
              <a:off x="6102359" y="8877300"/>
              <a:ext cx="164592" cy="167767"/>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202</xdr:row>
          <xdr:rowOff>0</xdr:rowOff>
        </xdr:from>
        <xdr:to>
          <xdr:col>4</xdr:col>
          <xdr:colOff>323351</xdr:colOff>
          <xdr:row>203</xdr:row>
          <xdr:rowOff>2668</xdr:rowOff>
        </xdr:to>
        <xdr:pic>
          <xdr:nvPicPr>
            <xdr:cNvPr id="96" name="Picture 95">
              <a:hlinkClick xmlns:r="http://schemas.openxmlformats.org/officeDocument/2006/relationships" r:id="rId57" tooltip="Go to monthly input"/>
              <a:extLst>
                <a:ext uri="{FF2B5EF4-FFF2-40B4-BE49-F238E27FC236}">
                  <a16:creationId xmlns:a16="http://schemas.microsoft.com/office/drawing/2014/main" id="{00000000-0008-0000-0F00-000060000000}"/>
                </a:ext>
              </a:extLst>
            </xdr:cNvPr>
            <xdr:cNvPicPr>
              <a:picLocks noChangeAspect="1"/>
              <a:extLst>
                <a:ext uri="{84589F7E-364E-4C9E-8A38-B11213B215E9}">
                  <a14:cameraTool cellRange="Picture" spid="_x0000_s14524"/>
                </a:ext>
              </a:extLst>
            </xdr:cNvPicPr>
          </xdr:nvPicPr>
          <xdr:blipFill>
            <a:blip xmlns:r="http://schemas.openxmlformats.org/officeDocument/2006/relationships" r:embed="rId9"/>
            <a:stretch>
              <a:fillRect/>
            </a:stretch>
          </xdr:blipFill>
          <xdr:spPr>
            <a:xfrm>
              <a:off x="6102359" y="2444115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201</xdr:row>
          <xdr:rowOff>0</xdr:rowOff>
        </xdr:from>
        <xdr:to>
          <xdr:col>4</xdr:col>
          <xdr:colOff>323351</xdr:colOff>
          <xdr:row>202</xdr:row>
          <xdr:rowOff>2666</xdr:rowOff>
        </xdr:to>
        <xdr:pic>
          <xdr:nvPicPr>
            <xdr:cNvPr id="97" name="Picture 96">
              <a:hlinkClick xmlns:r="http://schemas.openxmlformats.org/officeDocument/2006/relationships" r:id="rId58" tooltip="Go to monthly input"/>
              <a:extLst>
                <a:ext uri="{FF2B5EF4-FFF2-40B4-BE49-F238E27FC236}">
                  <a16:creationId xmlns:a16="http://schemas.microsoft.com/office/drawing/2014/main" id="{00000000-0008-0000-0F00-000061000000}"/>
                </a:ext>
              </a:extLst>
            </xdr:cNvPr>
            <xdr:cNvPicPr>
              <a:picLocks noChangeAspect="1"/>
              <a:extLst>
                <a:ext uri="{84589F7E-364E-4C9E-8A38-B11213B215E9}">
                  <a14:cameraTool cellRange="Picture" spid="_x0000_s14525"/>
                </a:ext>
              </a:extLst>
            </xdr:cNvPicPr>
          </xdr:nvPicPr>
          <xdr:blipFill>
            <a:blip xmlns:r="http://schemas.openxmlformats.org/officeDocument/2006/relationships" r:embed="rId9"/>
            <a:stretch>
              <a:fillRect/>
            </a:stretch>
          </xdr:blipFill>
          <xdr:spPr>
            <a:xfrm>
              <a:off x="6102359" y="2427922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204</xdr:row>
          <xdr:rowOff>0</xdr:rowOff>
        </xdr:from>
        <xdr:to>
          <xdr:col>4</xdr:col>
          <xdr:colOff>323351</xdr:colOff>
          <xdr:row>205</xdr:row>
          <xdr:rowOff>2666</xdr:rowOff>
        </xdr:to>
        <xdr:pic>
          <xdr:nvPicPr>
            <xdr:cNvPr id="98" name="Picture 97">
              <a:hlinkClick xmlns:r="http://schemas.openxmlformats.org/officeDocument/2006/relationships" r:id="rId59" tooltip="Go to monthly input"/>
              <a:extLst>
                <a:ext uri="{FF2B5EF4-FFF2-40B4-BE49-F238E27FC236}">
                  <a16:creationId xmlns:a16="http://schemas.microsoft.com/office/drawing/2014/main" id="{00000000-0008-0000-0F00-000062000000}"/>
                </a:ext>
              </a:extLst>
            </xdr:cNvPr>
            <xdr:cNvPicPr>
              <a:picLocks noChangeAspect="1"/>
              <a:extLst>
                <a:ext uri="{84589F7E-364E-4C9E-8A38-B11213B215E9}">
                  <a14:cameraTool cellRange="Picture" spid="_x0000_s14526"/>
                </a:ext>
              </a:extLst>
            </xdr:cNvPicPr>
          </xdr:nvPicPr>
          <xdr:blipFill>
            <a:blip xmlns:r="http://schemas.openxmlformats.org/officeDocument/2006/relationships" r:embed="rId9"/>
            <a:stretch>
              <a:fillRect/>
            </a:stretch>
          </xdr:blipFill>
          <xdr:spPr>
            <a:xfrm>
              <a:off x="6102359" y="2476500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205</xdr:row>
          <xdr:rowOff>0</xdr:rowOff>
        </xdr:from>
        <xdr:to>
          <xdr:col>4</xdr:col>
          <xdr:colOff>323351</xdr:colOff>
          <xdr:row>206</xdr:row>
          <xdr:rowOff>2667</xdr:rowOff>
        </xdr:to>
        <xdr:pic>
          <xdr:nvPicPr>
            <xdr:cNvPr id="99" name="Picture 98">
              <a:hlinkClick xmlns:r="http://schemas.openxmlformats.org/officeDocument/2006/relationships" r:id="rId60" tooltip="Go to monthly input"/>
              <a:extLst>
                <a:ext uri="{FF2B5EF4-FFF2-40B4-BE49-F238E27FC236}">
                  <a16:creationId xmlns:a16="http://schemas.microsoft.com/office/drawing/2014/main" id="{00000000-0008-0000-0F00-000063000000}"/>
                </a:ext>
              </a:extLst>
            </xdr:cNvPr>
            <xdr:cNvPicPr>
              <a:picLocks noChangeAspect="1"/>
              <a:extLst>
                <a:ext uri="{84589F7E-364E-4C9E-8A38-B11213B215E9}">
                  <a14:cameraTool cellRange="Picture" spid="_x0000_s14527"/>
                </a:ext>
              </a:extLst>
            </xdr:cNvPicPr>
          </xdr:nvPicPr>
          <xdr:blipFill>
            <a:blip xmlns:r="http://schemas.openxmlformats.org/officeDocument/2006/relationships" r:embed="rId9"/>
            <a:stretch>
              <a:fillRect/>
            </a:stretch>
          </xdr:blipFill>
          <xdr:spPr>
            <a:xfrm>
              <a:off x="6102359" y="2492692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206</xdr:row>
          <xdr:rowOff>0</xdr:rowOff>
        </xdr:from>
        <xdr:to>
          <xdr:col>4</xdr:col>
          <xdr:colOff>323351</xdr:colOff>
          <xdr:row>207</xdr:row>
          <xdr:rowOff>2667</xdr:rowOff>
        </xdr:to>
        <xdr:pic>
          <xdr:nvPicPr>
            <xdr:cNvPr id="100" name="Picture 99">
              <a:hlinkClick xmlns:r="http://schemas.openxmlformats.org/officeDocument/2006/relationships" r:id="rId61" tooltip="Go to monthly input"/>
              <a:extLst>
                <a:ext uri="{FF2B5EF4-FFF2-40B4-BE49-F238E27FC236}">
                  <a16:creationId xmlns:a16="http://schemas.microsoft.com/office/drawing/2014/main" id="{00000000-0008-0000-0F00-000064000000}"/>
                </a:ext>
              </a:extLst>
            </xdr:cNvPr>
            <xdr:cNvPicPr>
              <a:picLocks noChangeAspect="1"/>
              <a:extLst>
                <a:ext uri="{84589F7E-364E-4C9E-8A38-B11213B215E9}">
                  <a14:cameraTool cellRange="Picture" spid="_x0000_s14528"/>
                </a:ext>
              </a:extLst>
            </xdr:cNvPicPr>
          </xdr:nvPicPr>
          <xdr:blipFill>
            <a:blip xmlns:r="http://schemas.openxmlformats.org/officeDocument/2006/relationships" r:embed="rId9"/>
            <a:stretch>
              <a:fillRect/>
            </a:stretch>
          </xdr:blipFill>
          <xdr:spPr>
            <a:xfrm>
              <a:off x="6102359" y="2508885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207</xdr:row>
          <xdr:rowOff>0</xdr:rowOff>
        </xdr:from>
        <xdr:to>
          <xdr:col>4</xdr:col>
          <xdr:colOff>323351</xdr:colOff>
          <xdr:row>208</xdr:row>
          <xdr:rowOff>2666</xdr:rowOff>
        </xdr:to>
        <xdr:pic>
          <xdr:nvPicPr>
            <xdr:cNvPr id="101" name="Picture 100">
              <a:hlinkClick xmlns:r="http://schemas.openxmlformats.org/officeDocument/2006/relationships" r:id="rId62" tooltip="Go to monthly input"/>
              <a:extLst>
                <a:ext uri="{FF2B5EF4-FFF2-40B4-BE49-F238E27FC236}">
                  <a16:creationId xmlns:a16="http://schemas.microsoft.com/office/drawing/2014/main" id="{00000000-0008-0000-0F00-000065000000}"/>
                </a:ext>
              </a:extLst>
            </xdr:cNvPr>
            <xdr:cNvPicPr>
              <a:picLocks noChangeAspect="1"/>
              <a:extLst>
                <a:ext uri="{84589F7E-364E-4C9E-8A38-B11213B215E9}">
                  <a14:cameraTool cellRange="Picture" spid="_x0000_s14529"/>
                </a:ext>
              </a:extLst>
            </xdr:cNvPicPr>
          </xdr:nvPicPr>
          <xdr:blipFill>
            <a:blip xmlns:r="http://schemas.openxmlformats.org/officeDocument/2006/relationships" r:embed="rId9"/>
            <a:stretch>
              <a:fillRect/>
            </a:stretch>
          </xdr:blipFill>
          <xdr:spPr>
            <a:xfrm>
              <a:off x="6102359" y="2525077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209</xdr:row>
          <xdr:rowOff>0</xdr:rowOff>
        </xdr:from>
        <xdr:to>
          <xdr:col>4</xdr:col>
          <xdr:colOff>323351</xdr:colOff>
          <xdr:row>210</xdr:row>
          <xdr:rowOff>2667</xdr:rowOff>
        </xdr:to>
        <xdr:pic>
          <xdr:nvPicPr>
            <xdr:cNvPr id="102" name="Picture 101">
              <a:hlinkClick xmlns:r="http://schemas.openxmlformats.org/officeDocument/2006/relationships" r:id="rId63" tooltip="Go to monthly input"/>
              <a:extLst>
                <a:ext uri="{FF2B5EF4-FFF2-40B4-BE49-F238E27FC236}">
                  <a16:creationId xmlns:a16="http://schemas.microsoft.com/office/drawing/2014/main" id="{00000000-0008-0000-0F00-000066000000}"/>
                </a:ext>
              </a:extLst>
            </xdr:cNvPr>
            <xdr:cNvPicPr>
              <a:picLocks noChangeAspect="1"/>
              <a:extLst>
                <a:ext uri="{84589F7E-364E-4C9E-8A38-B11213B215E9}">
                  <a14:cameraTool cellRange="Picture" spid="_x0000_s14530"/>
                </a:ext>
              </a:extLst>
            </xdr:cNvPicPr>
          </xdr:nvPicPr>
          <xdr:blipFill>
            <a:blip xmlns:r="http://schemas.openxmlformats.org/officeDocument/2006/relationships" r:embed="rId9"/>
            <a:stretch>
              <a:fillRect/>
            </a:stretch>
          </xdr:blipFill>
          <xdr:spPr>
            <a:xfrm>
              <a:off x="6102359" y="2557462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210</xdr:row>
          <xdr:rowOff>0</xdr:rowOff>
        </xdr:from>
        <xdr:to>
          <xdr:col>4</xdr:col>
          <xdr:colOff>323351</xdr:colOff>
          <xdr:row>211</xdr:row>
          <xdr:rowOff>2666</xdr:rowOff>
        </xdr:to>
        <xdr:pic>
          <xdr:nvPicPr>
            <xdr:cNvPr id="103" name="Picture 102">
              <a:hlinkClick xmlns:r="http://schemas.openxmlformats.org/officeDocument/2006/relationships" r:id="rId64" tooltip="Go to monthly input"/>
              <a:extLst>
                <a:ext uri="{FF2B5EF4-FFF2-40B4-BE49-F238E27FC236}">
                  <a16:creationId xmlns:a16="http://schemas.microsoft.com/office/drawing/2014/main" id="{00000000-0008-0000-0F00-000067000000}"/>
                </a:ext>
              </a:extLst>
            </xdr:cNvPr>
            <xdr:cNvPicPr>
              <a:picLocks noChangeAspect="1"/>
              <a:extLst>
                <a:ext uri="{84589F7E-364E-4C9E-8A38-B11213B215E9}">
                  <a14:cameraTool cellRange="Picture" spid="_x0000_s14531"/>
                </a:ext>
              </a:extLst>
            </xdr:cNvPicPr>
          </xdr:nvPicPr>
          <xdr:blipFill>
            <a:blip xmlns:r="http://schemas.openxmlformats.org/officeDocument/2006/relationships" r:embed="rId9"/>
            <a:stretch>
              <a:fillRect/>
            </a:stretch>
          </xdr:blipFill>
          <xdr:spPr>
            <a:xfrm>
              <a:off x="6102359" y="2573655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211</xdr:row>
          <xdr:rowOff>0</xdr:rowOff>
        </xdr:from>
        <xdr:to>
          <xdr:col>4</xdr:col>
          <xdr:colOff>323351</xdr:colOff>
          <xdr:row>212</xdr:row>
          <xdr:rowOff>2668</xdr:rowOff>
        </xdr:to>
        <xdr:pic>
          <xdr:nvPicPr>
            <xdr:cNvPr id="104" name="Picture 103">
              <a:hlinkClick xmlns:r="http://schemas.openxmlformats.org/officeDocument/2006/relationships" r:id="rId65" tooltip="Go to monthly input"/>
              <a:extLst>
                <a:ext uri="{FF2B5EF4-FFF2-40B4-BE49-F238E27FC236}">
                  <a16:creationId xmlns:a16="http://schemas.microsoft.com/office/drawing/2014/main" id="{00000000-0008-0000-0F00-000068000000}"/>
                </a:ext>
              </a:extLst>
            </xdr:cNvPr>
            <xdr:cNvPicPr>
              <a:picLocks noChangeAspect="1"/>
              <a:extLst>
                <a:ext uri="{84589F7E-364E-4C9E-8A38-B11213B215E9}">
                  <a14:cameraTool cellRange="Picture" spid="_x0000_s14532"/>
                </a:ext>
              </a:extLst>
            </xdr:cNvPicPr>
          </xdr:nvPicPr>
          <xdr:blipFill>
            <a:blip xmlns:r="http://schemas.openxmlformats.org/officeDocument/2006/relationships" r:embed="rId9"/>
            <a:stretch>
              <a:fillRect/>
            </a:stretch>
          </xdr:blipFill>
          <xdr:spPr>
            <a:xfrm>
              <a:off x="6102359" y="2589847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212</xdr:row>
          <xdr:rowOff>0</xdr:rowOff>
        </xdr:from>
        <xdr:to>
          <xdr:col>4</xdr:col>
          <xdr:colOff>323351</xdr:colOff>
          <xdr:row>213</xdr:row>
          <xdr:rowOff>2667</xdr:rowOff>
        </xdr:to>
        <xdr:pic>
          <xdr:nvPicPr>
            <xdr:cNvPr id="105" name="Picture 104">
              <a:hlinkClick xmlns:r="http://schemas.openxmlformats.org/officeDocument/2006/relationships" r:id="rId66" tooltip="Go to monthly input"/>
              <a:extLst>
                <a:ext uri="{FF2B5EF4-FFF2-40B4-BE49-F238E27FC236}">
                  <a16:creationId xmlns:a16="http://schemas.microsoft.com/office/drawing/2014/main" id="{00000000-0008-0000-0F00-000069000000}"/>
                </a:ext>
              </a:extLst>
            </xdr:cNvPr>
            <xdr:cNvPicPr>
              <a:picLocks noChangeAspect="1"/>
              <a:extLst>
                <a:ext uri="{84589F7E-364E-4C9E-8A38-B11213B215E9}">
                  <a14:cameraTool cellRange="Picture" spid="_x0000_s14533"/>
                </a:ext>
              </a:extLst>
            </xdr:cNvPicPr>
          </xdr:nvPicPr>
          <xdr:blipFill>
            <a:blip xmlns:r="http://schemas.openxmlformats.org/officeDocument/2006/relationships" r:embed="rId9"/>
            <a:stretch>
              <a:fillRect/>
            </a:stretch>
          </xdr:blipFill>
          <xdr:spPr>
            <a:xfrm>
              <a:off x="6102359" y="2606040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215</xdr:row>
          <xdr:rowOff>0</xdr:rowOff>
        </xdr:from>
        <xdr:to>
          <xdr:col>4</xdr:col>
          <xdr:colOff>323351</xdr:colOff>
          <xdr:row>216</xdr:row>
          <xdr:rowOff>2668</xdr:rowOff>
        </xdr:to>
        <xdr:pic>
          <xdr:nvPicPr>
            <xdr:cNvPr id="106" name="Picture 105">
              <a:hlinkClick xmlns:r="http://schemas.openxmlformats.org/officeDocument/2006/relationships" r:id="rId67" tooltip="Go to monthly input"/>
              <a:extLst>
                <a:ext uri="{FF2B5EF4-FFF2-40B4-BE49-F238E27FC236}">
                  <a16:creationId xmlns:a16="http://schemas.microsoft.com/office/drawing/2014/main" id="{00000000-0008-0000-0F00-00006A000000}"/>
                </a:ext>
              </a:extLst>
            </xdr:cNvPr>
            <xdr:cNvPicPr>
              <a:picLocks noChangeAspect="1"/>
              <a:extLst>
                <a:ext uri="{84589F7E-364E-4C9E-8A38-B11213B215E9}">
                  <a14:cameraTool cellRange="Picture" spid="_x0000_s14534"/>
                </a:ext>
              </a:extLst>
            </xdr:cNvPicPr>
          </xdr:nvPicPr>
          <xdr:blipFill>
            <a:blip xmlns:r="http://schemas.openxmlformats.org/officeDocument/2006/relationships" r:embed="rId9"/>
            <a:stretch>
              <a:fillRect/>
            </a:stretch>
          </xdr:blipFill>
          <xdr:spPr>
            <a:xfrm>
              <a:off x="6102359" y="2654617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216</xdr:row>
          <xdr:rowOff>0</xdr:rowOff>
        </xdr:from>
        <xdr:to>
          <xdr:col>4</xdr:col>
          <xdr:colOff>323351</xdr:colOff>
          <xdr:row>217</xdr:row>
          <xdr:rowOff>2666</xdr:rowOff>
        </xdr:to>
        <xdr:pic>
          <xdr:nvPicPr>
            <xdr:cNvPr id="107" name="Picture 106">
              <a:hlinkClick xmlns:r="http://schemas.openxmlformats.org/officeDocument/2006/relationships" r:id="rId68" tooltip="Go to monthly input"/>
              <a:extLst>
                <a:ext uri="{FF2B5EF4-FFF2-40B4-BE49-F238E27FC236}">
                  <a16:creationId xmlns:a16="http://schemas.microsoft.com/office/drawing/2014/main" id="{00000000-0008-0000-0F00-00006B000000}"/>
                </a:ext>
              </a:extLst>
            </xdr:cNvPr>
            <xdr:cNvPicPr>
              <a:picLocks noChangeAspect="1"/>
              <a:extLst>
                <a:ext uri="{84589F7E-364E-4C9E-8A38-B11213B215E9}">
                  <a14:cameraTool cellRange="Picture" spid="_x0000_s14535"/>
                </a:ext>
              </a:extLst>
            </xdr:cNvPicPr>
          </xdr:nvPicPr>
          <xdr:blipFill>
            <a:blip xmlns:r="http://schemas.openxmlformats.org/officeDocument/2006/relationships" r:embed="rId9"/>
            <a:stretch>
              <a:fillRect/>
            </a:stretch>
          </xdr:blipFill>
          <xdr:spPr>
            <a:xfrm>
              <a:off x="6102359" y="26708100"/>
              <a:ext cx="164592" cy="164592"/>
            </a:xfrm>
            <a:prstGeom prst="rect">
              <a:avLst/>
            </a:prstGeom>
          </xdr:spPr>
        </xdr:pic>
        <xdr:clientData fPrintsWithSheet="0"/>
      </xdr:twoCellAnchor>
    </mc:Choice>
    <mc:Fallback/>
  </mc:AlternateContent>
  <xdr:oneCellAnchor>
    <xdr:from>
      <xdr:col>1</xdr:col>
      <xdr:colOff>28576</xdr:colOff>
      <xdr:row>82</xdr:row>
      <xdr:rowOff>50506</xdr:rowOff>
    </xdr:from>
    <xdr:ext cx="685800" cy="685800"/>
    <xdr:pic>
      <xdr:nvPicPr>
        <xdr:cNvPr id="94" name="Picture 93">
          <a:extLst>
            <a:ext uri="{FF2B5EF4-FFF2-40B4-BE49-F238E27FC236}">
              <a16:creationId xmlns:a16="http://schemas.microsoft.com/office/drawing/2014/main" id="{00000000-0008-0000-0F00-00005E000000}"/>
            </a:ext>
          </a:extLst>
        </xdr:cNvPr>
        <xdr:cNvPicPr>
          <a:picLocks noChangeAspect="1"/>
        </xdr:cNvPicPr>
      </xdr:nvPicPr>
      <xdr:blipFill>
        <a:blip xmlns:r="http://schemas.openxmlformats.org/officeDocument/2006/relationships" r:embed="rId69">
          <a:extLst>
            <a:ext uri="{28A0092B-C50C-407E-A947-70E740481C1C}">
              <a14:useLocalDpi xmlns:a14="http://schemas.microsoft.com/office/drawing/2010/main" val="0"/>
            </a:ext>
          </a:extLst>
        </a:blip>
        <a:stretch>
          <a:fillRect/>
        </a:stretch>
      </xdr:blipFill>
      <xdr:spPr>
        <a:xfrm>
          <a:off x="28576" y="9156406"/>
          <a:ext cx="685800" cy="685800"/>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158759</xdr:colOff>
          <xdr:row>172</xdr:row>
          <xdr:rowOff>0</xdr:rowOff>
        </xdr:from>
        <xdr:to>
          <xdr:col>4</xdr:col>
          <xdr:colOff>323351</xdr:colOff>
          <xdr:row>173</xdr:row>
          <xdr:rowOff>2667</xdr:rowOff>
        </xdr:to>
        <xdr:pic>
          <xdr:nvPicPr>
            <xdr:cNvPr id="108" name="Picture 107">
              <a:hlinkClick xmlns:r="http://schemas.openxmlformats.org/officeDocument/2006/relationships" r:id="rId70" tooltip="Go to monthly input"/>
              <a:extLst>
                <a:ext uri="{FF2B5EF4-FFF2-40B4-BE49-F238E27FC236}">
                  <a16:creationId xmlns:a16="http://schemas.microsoft.com/office/drawing/2014/main" id="{00000000-0008-0000-0F00-00006C000000}"/>
                </a:ext>
              </a:extLst>
            </xdr:cNvPr>
            <xdr:cNvPicPr>
              <a:picLocks noChangeAspect="1"/>
              <a:extLst>
                <a:ext uri="{84589F7E-364E-4C9E-8A38-B11213B215E9}">
                  <a14:cameraTool cellRange="Picture" spid="_x0000_s14536"/>
                </a:ext>
              </a:extLst>
            </xdr:cNvPicPr>
          </xdr:nvPicPr>
          <xdr:blipFill>
            <a:blip xmlns:r="http://schemas.openxmlformats.org/officeDocument/2006/relationships" r:embed="rId9"/>
            <a:stretch>
              <a:fillRect/>
            </a:stretch>
          </xdr:blipFill>
          <xdr:spPr>
            <a:xfrm>
              <a:off x="6102359" y="1991677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174</xdr:row>
          <xdr:rowOff>0</xdr:rowOff>
        </xdr:from>
        <xdr:to>
          <xdr:col>4</xdr:col>
          <xdr:colOff>323351</xdr:colOff>
          <xdr:row>175</xdr:row>
          <xdr:rowOff>2666</xdr:rowOff>
        </xdr:to>
        <xdr:pic>
          <xdr:nvPicPr>
            <xdr:cNvPr id="109" name="Picture 108">
              <a:hlinkClick xmlns:r="http://schemas.openxmlformats.org/officeDocument/2006/relationships" r:id="rId71" tooltip="Go to monthly input"/>
              <a:extLst>
                <a:ext uri="{FF2B5EF4-FFF2-40B4-BE49-F238E27FC236}">
                  <a16:creationId xmlns:a16="http://schemas.microsoft.com/office/drawing/2014/main" id="{00000000-0008-0000-0F00-00006D000000}"/>
                </a:ext>
              </a:extLst>
            </xdr:cNvPr>
            <xdr:cNvPicPr>
              <a:picLocks noChangeAspect="1"/>
              <a:extLst>
                <a:ext uri="{84589F7E-364E-4C9E-8A38-B11213B215E9}">
                  <a14:cameraTool cellRange="Picture" spid="_x0000_s14537"/>
                </a:ext>
              </a:extLst>
            </xdr:cNvPicPr>
          </xdr:nvPicPr>
          <xdr:blipFill>
            <a:blip xmlns:r="http://schemas.openxmlformats.org/officeDocument/2006/relationships" r:embed="rId9"/>
            <a:stretch>
              <a:fillRect/>
            </a:stretch>
          </xdr:blipFill>
          <xdr:spPr>
            <a:xfrm>
              <a:off x="6102359" y="2024062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oneCellAnchor>
        <xdr:from>
          <xdr:col>4</xdr:col>
          <xdr:colOff>158759</xdr:colOff>
          <xdr:row>109</xdr:row>
          <xdr:rowOff>0</xdr:rowOff>
        </xdr:from>
        <xdr:ext cx="164592" cy="167767"/>
        <xdr:pic>
          <xdr:nvPicPr>
            <xdr:cNvPr id="113" name="Picture 112">
              <a:hlinkClick xmlns:r="http://schemas.openxmlformats.org/officeDocument/2006/relationships" r:id="rId22" tooltip="Go to monthly input"/>
              <a:extLst>
                <a:ext uri="{FF2B5EF4-FFF2-40B4-BE49-F238E27FC236}">
                  <a16:creationId xmlns:a16="http://schemas.microsoft.com/office/drawing/2014/main" id="{00000000-0008-0000-0F00-000071000000}"/>
                </a:ext>
              </a:extLst>
            </xdr:cNvPr>
            <xdr:cNvPicPr>
              <a:picLocks noChangeAspect="1"/>
              <a:extLst>
                <a:ext uri="{84589F7E-364E-4C9E-8A38-B11213B215E9}">
                  <a14:cameraTool cellRange="Picture" spid="_x0000_s14538"/>
                </a:ext>
              </a:extLst>
            </xdr:cNvPicPr>
          </xdr:nvPicPr>
          <xdr:blipFill>
            <a:blip xmlns:r="http://schemas.openxmlformats.org/officeDocument/2006/relationships" r:embed="rId9"/>
            <a:stretch>
              <a:fillRect/>
            </a:stretch>
          </xdr:blipFill>
          <xdr:spPr>
            <a:xfrm>
              <a:off x="6102359" y="10772775"/>
              <a:ext cx="164592" cy="167767"/>
            </a:xfrm>
            <a:prstGeom prst="rect">
              <a:avLst/>
            </a:prstGeom>
          </xdr:spPr>
        </xdr:pic>
        <xdr:clientData fPrintsWithSheet="0"/>
      </xdr:oneCellAnchor>
    </mc:Choice>
    <mc:Fallback/>
  </mc:AlternateContent>
  <mc:AlternateContent xmlns:mc="http://schemas.openxmlformats.org/markup-compatibility/2006">
    <mc:Choice xmlns:a14="http://schemas.microsoft.com/office/drawing/2010/main" Requires="a14">
      <xdr:oneCellAnchor>
        <xdr:from>
          <xdr:col>4</xdr:col>
          <xdr:colOff>158759</xdr:colOff>
          <xdr:row>120</xdr:row>
          <xdr:rowOff>0</xdr:rowOff>
        </xdr:from>
        <xdr:ext cx="164592" cy="164592"/>
        <xdr:pic>
          <xdr:nvPicPr>
            <xdr:cNvPr id="114" name="Picture 113">
              <a:hlinkClick xmlns:r="http://schemas.openxmlformats.org/officeDocument/2006/relationships" r:id="rId38" tooltip="Go to monthly input"/>
              <a:extLst>
                <a:ext uri="{FF2B5EF4-FFF2-40B4-BE49-F238E27FC236}">
                  <a16:creationId xmlns:a16="http://schemas.microsoft.com/office/drawing/2014/main" id="{00000000-0008-0000-0F00-000072000000}"/>
                </a:ext>
              </a:extLst>
            </xdr:cNvPr>
            <xdr:cNvPicPr>
              <a:picLocks noChangeAspect="1"/>
              <a:extLst>
                <a:ext uri="{84589F7E-364E-4C9E-8A38-B11213B215E9}">
                  <a14:cameraTool cellRange="Picture" spid="_x0000_s14539"/>
                </a:ext>
              </a:extLst>
            </xdr:cNvPicPr>
          </xdr:nvPicPr>
          <xdr:blipFill>
            <a:blip xmlns:r="http://schemas.openxmlformats.org/officeDocument/2006/relationships" r:embed="rId9"/>
            <a:stretch>
              <a:fillRect/>
            </a:stretch>
          </xdr:blipFill>
          <xdr:spPr>
            <a:xfrm>
              <a:off x="6102359" y="18040350"/>
              <a:ext cx="164592" cy="164592"/>
            </a:xfrm>
            <a:prstGeom prst="rect">
              <a:avLst/>
            </a:prstGeom>
          </xdr:spPr>
        </xdr:pic>
        <xdr:clientData fPrintsWithSheet="0"/>
      </xdr:oneCellAnchor>
    </mc:Choice>
    <mc:Fallback/>
  </mc:AlternateContent>
  <mc:AlternateContent xmlns:mc="http://schemas.openxmlformats.org/markup-compatibility/2006">
    <mc:Choice xmlns:a14="http://schemas.microsoft.com/office/drawing/2010/main" Requires="a14">
      <xdr:oneCellAnchor>
        <xdr:from>
          <xdr:col>4</xdr:col>
          <xdr:colOff>158759</xdr:colOff>
          <xdr:row>109</xdr:row>
          <xdr:rowOff>0</xdr:rowOff>
        </xdr:from>
        <xdr:ext cx="164592" cy="164592"/>
        <xdr:pic>
          <xdr:nvPicPr>
            <xdr:cNvPr id="123" name="Picture 122">
              <a:hlinkClick xmlns:r="http://schemas.openxmlformats.org/officeDocument/2006/relationships" r:id="rId31" tooltip="Go to monthly input"/>
              <a:extLst>
                <a:ext uri="{FF2B5EF4-FFF2-40B4-BE49-F238E27FC236}">
                  <a16:creationId xmlns:a16="http://schemas.microsoft.com/office/drawing/2014/main" id="{00000000-0008-0000-0F00-00007B000000}"/>
                </a:ext>
              </a:extLst>
            </xdr:cNvPr>
            <xdr:cNvPicPr>
              <a:picLocks noChangeAspect="1"/>
              <a:extLst>
                <a:ext uri="{84589F7E-364E-4C9E-8A38-B11213B215E9}">
                  <a14:cameraTool cellRange="Picture" spid="_x0000_s14540"/>
                </a:ext>
              </a:extLst>
            </xdr:cNvPicPr>
          </xdr:nvPicPr>
          <xdr:blipFill>
            <a:blip xmlns:r="http://schemas.openxmlformats.org/officeDocument/2006/relationships" r:embed="rId9"/>
            <a:stretch>
              <a:fillRect/>
            </a:stretch>
          </xdr:blipFill>
          <xdr:spPr>
            <a:xfrm>
              <a:off x="6102359" y="16773525"/>
              <a:ext cx="164592" cy="164592"/>
            </a:xfrm>
            <a:prstGeom prst="rect">
              <a:avLst/>
            </a:prstGeom>
          </xdr:spPr>
        </xdr:pic>
        <xdr:clientData fPrintsWithSheet="0"/>
      </xdr:one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118</xdr:row>
          <xdr:rowOff>0</xdr:rowOff>
        </xdr:from>
        <xdr:to>
          <xdr:col>4</xdr:col>
          <xdr:colOff>323351</xdr:colOff>
          <xdr:row>119</xdr:row>
          <xdr:rowOff>2666</xdr:rowOff>
        </xdr:to>
        <xdr:pic>
          <xdr:nvPicPr>
            <xdr:cNvPr id="124" name="Picture 123">
              <a:hlinkClick xmlns:r="http://schemas.openxmlformats.org/officeDocument/2006/relationships" r:id="rId72" tooltip="Go to monthly input"/>
              <a:extLst>
                <a:ext uri="{FF2B5EF4-FFF2-40B4-BE49-F238E27FC236}">
                  <a16:creationId xmlns:a16="http://schemas.microsoft.com/office/drawing/2014/main" id="{00000000-0008-0000-0F00-00007C000000}"/>
                </a:ext>
              </a:extLst>
            </xdr:cNvPr>
            <xdr:cNvPicPr>
              <a:picLocks noChangeAspect="1"/>
              <a:extLst>
                <a:ext uri="{84589F7E-364E-4C9E-8A38-B11213B215E9}">
                  <a14:cameraTool cellRange="Picture" spid="_x0000_s14541"/>
                </a:ext>
              </a:extLst>
            </xdr:cNvPicPr>
          </xdr:nvPicPr>
          <xdr:blipFill>
            <a:blip xmlns:r="http://schemas.openxmlformats.org/officeDocument/2006/relationships" r:embed="rId9"/>
            <a:stretch>
              <a:fillRect/>
            </a:stretch>
          </xdr:blipFill>
          <xdr:spPr>
            <a:xfrm>
              <a:off x="6102359" y="1815465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218</xdr:row>
          <xdr:rowOff>0</xdr:rowOff>
        </xdr:from>
        <xdr:to>
          <xdr:col>4</xdr:col>
          <xdr:colOff>323351</xdr:colOff>
          <xdr:row>219</xdr:row>
          <xdr:rowOff>2666</xdr:rowOff>
        </xdr:to>
        <xdr:pic>
          <xdr:nvPicPr>
            <xdr:cNvPr id="125" name="Picture 124">
              <a:hlinkClick xmlns:r="http://schemas.openxmlformats.org/officeDocument/2006/relationships" r:id="rId73" tooltip="Go to monthly input"/>
              <a:extLst>
                <a:ext uri="{FF2B5EF4-FFF2-40B4-BE49-F238E27FC236}">
                  <a16:creationId xmlns:a16="http://schemas.microsoft.com/office/drawing/2014/main" id="{00000000-0008-0000-0F00-00007D000000}"/>
                </a:ext>
              </a:extLst>
            </xdr:cNvPr>
            <xdr:cNvPicPr>
              <a:picLocks noChangeAspect="1"/>
              <a:extLst>
                <a:ext uri="{84589F7E-364E-4C9E-8A38-B11213B215E9}">
                  <a14:cameraTool cellRange="Picture" spid="_x0000_s14542"/>
                </a:ext>
              </a:extLst>
            </xdr:cNvPicPr>
          </xdr:nvPicPr>
          <xdr:blipFill>
            <a:blip xmlns:r="http://schemas.openxmlformats.org/officeDocument/2006/relationships" r:embed="rId9"/>
            <a:stretch>
              <a:fillRect/>
            </a:stretch>
          </xdr:blipFill>
          <xdr:spPr>
            <a:xfrm>
              <a:off x="6102359" y="2703195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219</xdr:row>
          <xdr:rowOff>0</xdr:rowOff>
        </xdr:from>
        <xdr:to>
          <xdr:col>4</xdr:col>
          <xdr:colOff>323351</xdr:colOff>
          <xdr:row>220</xdr:row>
          <xdr:rowOff>2667</xdr:rowOff>
        </xdr:to>
        <xdr:pic>
          <xdr:nvPicPr>
            <xdr:cNvPr id="126" name="Picture 125">
              <a:hlinkClick xmlns:r="http://schemas.openxmlformats.org/officeDocument/2006/relationships" r:id="rId74" tooltip="Go to monthly input"/>
              <a:extLst>
                <a:ext uri="{FF2B5EF4-FFF2-40B4-BE49-F238E27FC236}">
                  <a16:creationId xmlns:a16="http://schemas.microsoft.com/office/drawing/2014/main" id="{00000000-0008-0000-0F00-00007E000000}"/>
                </a:ext>
              </a:extLst>
            </xdr:cNvPr>
            <xdr:cNvPicPr>
              <a:picLocks noChangeAspect="1"/>
              <a:extLst>
                <a:ext uri="{84589F7E-364E-4C9E-8A38-B11213B215E9}">
                  <a14:cameraTool cellRange="Picture" spid="_x0000_s14543"/>
                </a:ext>
              </a:extLst>
            </xdr:cNvPicPr>
          </xdr:nvPicPr>
          <xdr:blipFill>
            <a:blip xmlns:r="http://schemas.openxmlformats.org/officeDocument/2006/relationships" r:embed="rId9"/>
            <a:stretch>
              <a:fillRect/>
            </a:stretch>
          </xdr:blipFill>
          <xdr:spPr>
            <a:xfrm>
              <a:off x="6569907" y="26444222"/>
              <a:ext cx="164592" cy="162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191</xdr:row>
          <xdr:rowOff>0</xdr:rowOff>
        </xdr:from>
        <xdr:to>
          <xdr:col>4</xdr:col>
          <xdr:colOff>323351</xdr:colOff>
          <xdr:row>192</xdr:row>
          <xdr:rowOff>2666</xdr:rowOff>
        </xdr:to>
        <xdr:pic>
          <xdr:nvPicPr>
            <xdr:cNvPr id="127" name="Picture 126">
              <a:hlinkClick xmlns:r="http://schemas.openxmlformats.org/officeDocument/2006/relationships" r:id="rId75" tooltip="Go to monthly input"/>
              <a:extLst>
                <a:ext uri="{FF2B5EF4-FFF2-40B4-BE49-F238E27FC236}">
                  <a16:creationId xmlns:a16="http://schemas.microsoft.com/office/drawing/2014/main" id="{00000000-0008-0000-0F00-00007F000000}"/>
                </a:ext>
              </a:extLst>
            </xdr:cNvPr>
            <xdr:cNvPicPr>
              <a:picLocks noChangeAspect="1"/>
              <a:extLst>
                <a:ext uri="{84589F7E-364E-4C9E-8A38-B11213B215E9}">
                  <a14:cameraTool cellRange="Picture" spid="_x0000_s14544"/>
                </a:ext>
              </a:extLst>
            </xdr:cNvPicPr>
          </xdr:nvPicPr>
          <xdr:blipFill>
            <a:blip xmlns:r="http://schemas.openxmlformats.org/officeDocument/2006/relationships" r:embed="rId9"/>
            <a:stretch>
              <a:fillRect/>
            </a:stretch>
          </xdr:blipFill>
          <xdr:spPr>
            <a:xfrm>
              <a:off x="6102359" y="2289810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192</xdr:row>
          <xdr:rowOff>0</xdr:rowOff>
        </xdr:from>
        <xdr:to>
          <xdr:col>4</xdr:col>
          <xdr:colOff>323351</xdr:colOff>
          <xdr:row>193</xdr:row>
          <xdr:rowOff>2669</xdr:rowOff>
        </xdr:to>
        <xdr:pic>
          <xdr:nvPicPr>
            <xdr:cNvPr id="128" name="Picture 127">
              <a:hlinkClick xmlns:r="http://schemas.openxmlformats.org/officeDocument/2006/relationships" r:id="rId76" tooltip="Go to monthly input"/>
              <a:extLst>
                <a:ext uri="{FF2B5EF4-FFF2-40B4-BE49-F238E27FC236}">
                  <a16:creationId xmlns:a16="http://schemas.microsoft.com/office/drawing/2014/main" id="{00000000-0008-0000-0F00-000080000000}"/>
                </a:ext>
              </a:extLst>
            </xdr:cNvPr>
            <xdr:cNvPicPr>
              <a:picLocks noChangeAspect="1"/>
              <a:extLst>
                <a:ext uri="{84589F7E-364E-4C9E-8A38-B11213B215E9}">
                  <a14:cameraTool cellRange="Picture" spid="_x0000_s14545"/>
                </a:ext>
              </a:extLst>
            </xdr:cNvPicPr>
          </xdr:nvPicPr>
          <xdr:blipFill>
            <a:blip xmlns:r="http://schemas.openxmlformats.org/officeDocument/2006/relationships" r:embed="rId9"/>
            <a:stretch>
              <a:fillRect/>
            </a:stretch>
          </xdr:blipFill>
          <xdr:spPr>
            <a:xfrm>
              <a:off x="6102359" y="2306002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173</xdr:row>
          <xdr:rowOff>0</xdr:rowOff>
        </xdr:from>
        <xdr:to>
          <xdr:col>4</xdr:col>
          <xdr:colOff>323351</xdr:colOff>
          <xdr:row>174</xdr:row>
          <xdr:rowOff>2668</xdr:rowOff>
        </xdr:to>
        <xdr:pic>
          <xdr:nvPicPr>
            <xdr:cNvPr id="129" name="Picture 128">
              <a:hlinkClick xmlns:r="http://schemas.openxmlformats.org/officeDocument/2006/relationships" r:id="rId77" tooltip="Go to monthly input"/>
              <a:extLst>
                <a:ext uri="{FF2B5EF4-FFF2-40B4-BE49-F238E27FC236}">
                  <a16:creationId xmlns:a16="http://schemas.microsoft.com/office/drawing/2014/main" id="{00000000-0008-0000-0F00-000081000000}"/>
                </a:ext>
              </a:extLst>
            </xdr:cNvPr>
            <xdr:cNvPicPr>
              <a:picLocks noChangeAspect="1"/>
              <a:extLst>
                <a:ext uri="{84589F7E-364E-4C9E-8A38-B11213B215E9}">
                  <a14:cameraTool cellRange="Picture" spid="_x0000_s14546"/>
                </a:ext>
              </a:extLst>
            </xdr:cNvPicPr>
          </xdr:nvPicPr>
          <xdr:blipFill>
            <a:blip xmlns:r="http://schemas.openxmlformats.org/officeDocument/2006/relationships" r:embed="rId9"/>
            <a:stretch>
              <a:fillRect/>
            </a:stretch>
          </xdr:blipFill>
          <xdr:spPr>
            <a:xfrm>
              <a:off x="6102359" y="2007870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151</xdr:row>
          <xdr:rowOff>0</xdr:rowOff>
        </xdr:from>
        <xdr:to>
          <xdr:col>4</xdr:col>
          <xdr:colOff>323351</xdr:colOff>
          <xdr:row>152</xdr:row>
          <xdr:rowOff>6900</xdr:rowOff>
        </xdr:to>
        <xdr:pic>
          <xdr:nvPicPr>
            <xdr:cNvPr id="130" name="Picture 129">
              <a:hlinkClick xmlns:r="http://schemas.openxmlformats.org/officeDocument/2006/relationships" r:id="rId78" tooltip="Go to monthly input"/>
              <a:extLst>
                <a:ext uri="{FF2B5EF4-FFF2-40B4-BE49-F238E27FC236}">
                  <a16:creationId xmlns:a16="http://schemas.microsoft.com/office/drawing/2014/main" id="{00000000-0008-0000-0F00-000082000000}"/>
                </a:ext>
              </a:extLst>
            </xdr:cNvPr>
            <xdr:cNvPicPr>
              <a:picLocks noChangeAspect="1"/>
              <a:extLst>
                <a:ext uri="{84589F7E-364E-4C9E-8A38-B11213B215E9}">
                  <a14:cameraTool cellRange="Picture" spid="_x0000_s14547"/>
                </a:ext>
              </a:extLst>
            </xdr:cNvPicPr>
          </xdr:nvPicPr>
          <xdr:blipFill>
            <a:blip xmlns:r="http://schemas.openxmlformats.org/officeDocument/2006/relationships" r:embed="rId9"/>
            <a:stretch>
              <a:fillRect/>
            </a:stretch>
          </xdr:blipFill>
          <xdr:spPr>
            <a:xfrm>
              <a:off x="6530984" y="8224838"/>
              <a:ext cx="164592" cy="167767"/>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53</xdr:row>
          <xdr:rowOff>0</xdr:rowOff>
        </xdr:from>
        <xdr:to>
          <xdr:col>4</xdr:col>
          <xdr:colOff>323351</xdr:colOff>
          <xdr:row>54</xdr:row>
          <xdr:rowOff>12252</xdr:rowOff>
        </xdr:to>
        <xdr:pic>
          <xdr:nvPicPr>
            <xdr:cNvPr id="131" name="Picture 130">
              <a:hlinkClick xmlns:r="http://schemas.openxmlformats.org/officeDocument/2006/relationships" r:id="rId79" tooltip="Go to monthly input"/>
              <a:extLst>
                <a:ext uri="{FF2B5EF4-FFF2-40B4-BE49-F238E27FC236}">
                  <a16:creationId xmlns:a16="http://schemas.microsoft.com/office/drawing/2014/main" id="{00000000-0008-0000-0F00-000083000000}"/>
                </a:ext>
              </a:extLst>
            </xdr:cNvPr>
            <xdr:cNvPicPr>
              <a:picLocks noChangeAspect="1"/>
              <a:extLst>
                <a:ext uri="{84589F7E-364E-4C9E-8A38-B11213B215E9}">
                  <a14:cameraTool cellRange="Picture" spid="_x0000_s14548"/>
                </a:ext>
              </a:extLst>
            </xdr:cNvPicPr>
          </xdr:nvPicPr>
          <xdr:blipFill>
            <a:blip xmlns:r="http://schemas.openxmlformats.org/officeDocument/2006/relationships" r:embed="rId9"/>
            <a:stretch>
              <a:fillRect/>
            </a:stretch>
          </xdr:blipFill>
          <xdr:spPr>
            <a:xfrm>
              <a:off x="6102359" y="7058025"/>
              <a:ext cx="164592" cy="16465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46</xdr:row>
          <xdr:rowOff>0</xdr:rowOff>
        </xdr:from>
        <xdr:to>
          <xdr:col>4</xdr:col>
          <xdr:colOff>323351</xdr:colOff>
          <xdr:row>47</xdr:row>
          <xdr:rowOff>12255</xdr:rowOff>
        </xdr:to>
        <xdr:pic>
          <xdr:nvPicPr>
            <xdr:cNvPr id="132" name="Picture 131">
              <a:hlinkClick xmlns:r="http://schemas.openxmlformats.org/officeDocument/2006/relationships" r:id="rId80" tooltip="Go to monthly input"/>
              <a:extLst>
                <a:ext uri="{FF2B5EF4-FFF2-40B4-BE49-F238E27FC236}">
                  <a16:creationId xmlns:a16="http://schemas.microsoft.com/office/drawing/2014/main" id="{00000000-0008-0000-0F00-000084000000}"/>
                </a:ext>
              </a:extLst>
            </xdr:cNvPr>
            <xdr:cNvPicPr>
              <a:picLocks noChangeAspect="1"/>
              <a:extLst>
                <a:ext uri="{84589F7E-364E-4C9E-8A38-B11213B215E9}">
                  <a14:cameraTool cellRange="Picture" spid="_x0000_s14549"/>
                </a:ext>
              </a:extLst>
            </xdr:cNvPicPr>
          </xdr:nvPicPr>
          <xdr:blipFill>
            <a:blip xmlns:r="http://schemas.openxmlformats.org/officeDocument/2006/relationships" r:embed="rId9"/>
            <a:stretch>
              <a:fillRect/>
            </a:stretch>
          </xdr:blipFill>
          <xdr:spPr>
            <a:xfrm>
              <a:off x="6102359" y="5772150"/>
              <a:ext cx="164592" cy="164655"/>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54</xdr:row>
          <xdr:rowOff>0</xdr:rowOff>
        </xdr:from>
        <xdr:to>
          <xdr:col>4</xdr:col>
          <xdr:colOff>323351</xdr:colOff>
          <xdr:row>55</xdr:row>
          <xdr:rowOff>13749</xdr:rowOff>
        </xdr:to>
        <xdr:pic>
          <xdr:nvPicPr>
            <xdr:cNvPr id="134" name="Picture 133">
              <a:hlinkClick xmlns:r="http://schemas.openxmlformats.org/officeDocument/2006/relationships" r:id="rId81" tooltip="Go to monthly input"/>
              <a:extLst>
                <a:ext uri="{FF2B5EF4-FFF2-40B4-BE49-F238E27FC236}">
                  <a16:creationId xmlns:a16="http://schemas.microsoft.com/office/drawing/2014/main" id="{00000000-0008-0000-0F00-000086000000}"/>
                </a:ext>
              </a:extLst>
            </xdr:cNvPr>
            <xdr:cNvPicPr>
              <a:picLocks noChangeAspect="1"/>
              <a:extLst>
                <a:ext uri="{84589F7E-364E-4C9E-8A38-B11213B215E9}">
                  <a14:cameraTool cellRange="Picture" spid="_x0000_s14550"/>
                </a:ext>
              </a:extLst>
            </xdr:cNvPicPr>
          </xdr:nvPicPr>
          <xdr:blipFill>
            <a:blip xmlns:r="http://schemas.openxmlformats.org/officeDocument/2006/relationships" r:embed="rId9"/>
            <a:stretch>
              <a:fillRect/>
            </a:stretch>
          </xdr:blipFill>
          <xdr:spPr>
            <a:xfrm>
              <a:off x="6102359" y="7219950"/>
              <a:ext cx="164592" cy="166149"/>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32</xdr:row>
          <xdr:rowOff>0</xdr:rowOff>
        </xdr:from>
        <xdr:to>
          <xdr:col>4</xdr:col>
          <xdr:colOff>323351</xdr:colOff>
          <xdr:row>33</xdr:row>
          <xdr:rowOff>12254</xdr:rowOff>
        </xdr:to>
        <xdr:pic>
          <xdr:nvPicPr>
            <xdr:cNvPr id="135" name="Picture 134">
              <a:hlinkClick xmlns:r="http://schemas.openxmlformats.org/officeDocument/2006/relationships" r:id="rId82" tooltip="Go to monthly input"/>
              <a:extLst>
                <a:ext uri="{FF2B5EF4-FFF2-40B4-BE49-F238E27FC236}">
                  <a16:creationId xmlns:a16="http://schemas.microsoft.com/office/drawing/2014/main" id="{00000000-0008-0000-0F00-000087000000}"/>
                </a:ext>
              </a:extLst>
            </xdr:cNvPr>
            <xdr:cNvPicPr>
              <a:picLocks noChangeAspect="1"/>
              <a:extLst>
                <a:ext uri="{84589F7E-364E-4C9E-8A38-B11213B215E9}">
                  <a14:cameraTool cellRange="Picture" spid="_x0000_s14551"/>
                </a:ext>
              </a:extLst>
            </xdr:cNvPicPr>
          </xdr:nvPicPr>
          <xdr:blipFill>
            <a:blip xmlns:r="http://schemas.openxmlformats.org/officeDocument/2006/relationships" r:embed="rId9"/>
            <a:stretch>
              <a:fillRect/>
            </a:stretch>
          </xdr:blipFill>
          <xdr:spPr>
            <a:xfrm>
              <a:off x="6102359" y="3505200"/>
              <a:ext cx="164592" cy="164654"/>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37</xdr:row>
          <xdr:rowOff>0</xdr:rowOff>
        </xdr:from>
        <xdr:to>
          <xdr:col>4</xdr:col>
          <xdr:colOff>323351</xdr:colOff>
          <xdr:row>38</xdr:row>
          <xdr:rowOff>12253</xdr:rowOff>
        </xdr:to>
        <xdr:pic>
          <xdr:nvPicPr>
            <xdr:cNvPr id="136" name="Picture 135">
              <a:hlinkClick xmlns:r="http://schemas.openxmlformats.org/officeDocument/2006/relationships" r:id="rId83" tooltip="Go to monthly input"/>
              <a:extLst>
                <a:ext uri="{FF2B5EF4-FFF2-40B4-BE49-F238E27FC236}">
                  <a16:creationId xmlns:a16="http://schemas.microsoft.com/office/drawing/2014/main" id="{00000000-0008-0000-0F00-000088000000}"/>
                </a:ext>
              </a:extLst>
            </xdr:cNvPr>
            <xdr:cNvPicPr>
              <a:picLocks noChangeAspect="1"/>
              <a:extLst>
                <a:ext uri="{84589F7E-364E-4C9E-8A38-B11213B215E9}">
                  <a14:cameraTool cellRange="Picture" spid="_x0000_s14552"/>
                </a:ext>
              </a:extLst>
            </xdr:cNvPicPr>
          </xdr:nvPicPr>
          <xdr:blipFill>
            <a:blip xmlns:r="http://schemas.openxmlformats.org/officeDocument/2006/relationships" r:embed="rId9"/>
            <a:stretch>
              <a:fillRect/>
            </a:stretch>
          </xdr:blipFill>
          <xdr:spPr>
            <a:xfrm>
              <a:off x="6102359" y="4314825"/>
              <a:ext cx="164592" cy="164653"/>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36</xdr:row>
          <xdr:rowOff>0</xdr:rowOff>
        </xdr:from>
        <xdr:to>
          <xdr:col>4</xdr:col>
          <xdr:colOff>323351</xdr:colOff>
          <xdr:row>37</xdr:row>
          <xdr:rowOff>12255</xdr:rowOff>
        </xdr:to>
        <xdr:pic>
          <xdr:nvPicPr>
            <xdr:cNvPr id="137" name="Picture 136">
              <a:hlinkClick xmlns:r="http://schemas.openxmlformats.org/officeDocument/2006/relationships" r:id="rId84" tooltip="Go to monthly input"/>
              <a:extLst>
                <a:ext uri="{FF2B5EF4-FFF2-40B4-BE49-F238E27FC236}">
                  <a16:creationId xmlns:a16="http://schemas.microsoft.com/office/drawing/2014/main" id="{00000000-0008-0000-0F00-000089000000}"/>
                </a:ext>
              </a:extLst>
            </xdr:cNvPr>
            <xdr:cNvPicPr>
              <a:picLocks noChangeAspect="1"/>
              <a:extLst>
                <a:ext uri="{84589F7E-364E-4C9E-8A38-B11213B215E9}">
                  <a14:cameraTool cellRange="Picture" spid="_x0000_s14553"/>
                </a:ext>
              </a:extLst>
            </xdr:cNvPicPr>
          </xdr:nvPicPr>
          <xdr:blipFill>
            <a:blip xmlns:r="http://schemas.openxmlformats.org/officeDocument/2006/relationships" r:embed="rId9"/>
            <a:stretch>
              <a:fillRect/>
            </a:stretch>
          </xdr:blipFill>
          <xdr:spPr>
            <a:xfrm>
              <a:off x="6102359" y="4152900"/>
              <a:ext cx="164592" cy="164655"/>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oneCellAnchor>
        <xdr:from>
          <xdr:col>4</xdr:col>
          <xdr:colOff>158759</xdr:colOff>
          <xdr:row>108</xdr:row>
          <xdr:rowOff>0</xdr:rowOff>
        </xdr:from>
        <xdr:ext cx="164592" cy="164592"/>
        <xdr:pic>
          <xdr:nvPicPr>
            <xdr:cNvPr id="139" name="Picture 138">
              <a:hlinkClick xmlns:r="http://schemas.openxmlformats.org/officeDocument/2006/relationships" r:id="rId85" tooltip="Go to monthly input"/>
              <a:extLst>
                <a:ext uri="{FF2B5EF4-FFF2-40B4-BE49-F238E27FC236}">
                  <a16:creationId xmlns:a16="http://schemas.microsoft.com/office/drawing/2014/main" id="{00000000-0008-0000-0F00-00008B000000}"/>
                </a:ext>
              </a:extLst>
            </xdr:cNvPr>
            <xdr:cNvPicPr>
              <a:picLocks noChangeAspect="1"/>
              <a:extLst>
                <a:ext uri="{84589F7E-364E-4C9E-8A38-B11213B215E9}">
                  <a14:cameraTool cellRange="Picture" spid="_x0000_s14554"/>
                </a:ext>
              </a:extLst>
            </xdr:cNvPicPr>
          </xdr:nvPicPr>
          <xdr:blipFill>
            <a:blip xmlns:r="http://schemas.openxmlformats.org/officeDocument/2006/relationships" r:embed="rId9"/>
            <a:stretch>
              <a:fillRect/>
            </a:stretch>
          </xdr:blipFill>
          <xdr:spPr>
            <a:xfrm>
              <a:off x="6102359" y="16611600"/>
              <a:ext cx="164592" cy="164592"/>
            </a:xfrm>
            <a:prstGeom prst="rect">
              <a:avLst/>
            </a:prstGeom>
          </xdr:spPr>
        </xdr:pic>
        <xdr:clientData fPrintsWithSheet="0"/>
      </xdr:one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90</xdr:row>
          <xdr:rowOff>0</xdr:rowOff>
        </xdr:from>
        <xdr:to>
          <xdr:col>4</xdr:col>
          <xdr:colOff>323351</xdr:colOff>
          <xdr:row>91</xdr:row>
          <xdr:rowOff>2666</xdr:rowOff>
        </xdr:to>
        <xdr:pic>
          <xdr:nvPicPr>
            <xdr:cNvPr id="119" name="Picture 118">
              <a:hlinkClick xmlns:r="http://schemas.openxmlformats.org/officeDocument/2006/relationships" r:id="rId86" tooltip="Go to monthly input"/>
              <a:extLst>
                <a:ext uri="{FF2B5EF4-FFF2-40B4-BE49-F238E27FC236}">
                  <a16:creationId xmlns:a16="http://schemas.microsoft.com/office/drawing/2014/main" id="{00000000-0008-0000-0F00-000077000000}"/>
                </a:ext>
              </a:extLst>
            </xdr:cNvPr>
            <xdr:cNvPicPr>
              <a:picLocks noChangeAspect="1"/>
              <a:extLst>
                <a:ext uri="{84589F7E-364E-4C9E-8A38-B11213B215E9}">
                  <a14:cameraTool cellRange="Picture" spid="_x0000_s14555"/>
                </a:ext>
              </a:extLst>
            </xdr:cNvPicPr>
          </xdr:nvPicPr>
          <xdr:blipFill>
            <a:blip xmlns:r="http://schemas.openxmlformats.org/officeDocument/2006/relationships" r:embed="rId9"/>
            <a:stretch>
              <a:fillRect/>
            </a:stretch>
          </xdr:blipFill>
          <xdr:spPr>
            <a:xfrm>
              <a:off x="6102359" y="1393507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91</xdr:row>
          <xdr:rowOff>0</xdr:rowOff>
        </xdr:from>
        <xdr:to>
          <xdr:col>4</xdr:col>
          <xdr:colOff>323351</xdr:colOff>
          <xdr:row>92</xdr:row>
          <xdr:rowOff>2666</xdr:rowOff>
        </xdr:to>
        <xdr:pic>
          <xdr:nvPicPr>
            <xdr:cNvPr id="120" name="Picture 119">
              <a:hlinkClick xmlns:r="http://schemas.openxmlformats.org/officeDocument/2006/relationships" r:id="rId87" tooltip="Go to monthly input"/>
              <a:extLst>
                <a:ext uri="{FF2B5EF4-FFF2-40B4-BE49-F238E27FC236}">
                  <a16:creationId xmlns:a16="http://schemas.microsoft.com/office/drawing/2014/main" id="{00000000-0008-0000-0F00-000078000000}"/>
                </a:ext>
              </a:extLst>
            </xdr:cNvPr>
            <xdr:cNvPicPr>
              <a:picLocks noChangeAspect="1"/>
              <a:extLst>
                <a:ext uri="{84589F7E-364E-4C9E-8A38-B11213B215E9}">
                  <a14:cameraTool cellRange="Picture" spid="_x0000_s14556"/>
                </a:ext>
              </a:extLst>
            </xdr:cNvPicPr>
          </xdr:nvPicPr>
          <xdr:blipFill>
            <a:blip xmlns:r="http://schemas.openxmlformats.org/officeDocument/2006/relationships" r:embed="rId9"/>
            <a:stretch>
              <a:fillRect/>
            </a:stretch>
          </xdr:blipFill>
          <xdr:spPr>
            <a:xfrm>
              <a:off x="6102359" y="1409700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92</xdr:row>
          <xdr:rowOff>0</xdr:rowOff>
        </xdr:from>
        <xdr:to>
          <xdr:col>4</xdr:col>
          <xdr:colOff>323351</xdr:colOff>
          <xdr:row>93</xdr:row>
          <xdr:rowOff>2669</xdr:rowOff>
        </xdr:to>
        <xdr:pic>
          <xdr:nvPicPr>
            <xdr:cNvPr id="121" name="Picture 120">
              <a:hlinkClick xmlns:r="http://schemas.openxmlformats.org/officeDocument/2006/relationships" r:id="rId88" tooltip="Go to monthly input"/>
              <a:extLst>
                <a:ext uri="{FF2B5EF4-FFF2-40B4-BE49-F238E27FC236}">
                  <a16:creationId xmlns:a16="http://schemas.microsoft.com/office/drawing/2014/main" id="{00000000-0008-0000-0F00-000079000000}"/>
                </a:ext>
              </a:extLst>
            </xdr:cNvPr>
            <xdr:cNvPicPr>
              <a:picLocks noChangeAspect="1"/>
              <a:extLst>
                <a:ext uri="{84589F7E-364E-4C9E-8A38-B11213B215E9}">
                  <a14:cameraTool cellRange="Picture" spid="_x0000_s14557"/>
                </a:ext>
              </a:extLst>
            </xdr:cNvPicPr>
          </xdr:nvPicPr>
          <xdr:blipFill>
            <a:blip xmlns:r="http://schemas.openxmlformats.org/officeDocument/2006/relationships" r:embed="rId9"/>
            <a:stretch>
              <a:fillRect/>
            </a:stretch>
          </xdr:blipFill>
          <xdr:spPr>
            <a:xfrm>
              <a:off x="6102359" y="1425892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175</xdr:row>
          <xdr:rowOff>0</xdr:rowOff>
        </xdr:from>
        <xdr:to>
          <xdr:col>4</xdr:col>
          <xdr:colOff>323351</xdr:colOff>
          <xdr:row>176</xdr:row>
          <xdr:rowOff>2668</xdr:rowOff>
        </xdr:to>
        <xdr:pic>
          <xdr:nvPicPr>
            <xdr:cNvPr id="122" name="Picture 121">
              <a:hlinkClick xmlns:r="http://schemas.openxmlformats.org/officeDocument/2006/relationships" r:id="rId89" tooltip="Go to monthly input"/>
              <a:extLst>
                <a:ext uri="{FF2B5EF4-FFF2-40B4-BE49-F238E27FC236}">
                  <a16:creationId xmlns:a16="http://schemas.microsoft.com/office/drawing/2014/main" id="{00000000-0008-0000-0F00-00007A000000}"/>
                </a:ext>
              </a:extLst>
            </xdr:cNvPr>
            <xdr:cNvPicPr>
              <a:picLocks noChangeAspect="1"/>
              <a:extLst>
                <a:ext uri="{84589F7E-364E-4C9E-8A38-B11213B215E9}">
                  <a14:cameraTool cellRange="Picture" spid="_x0000_s14558"/>
                </a:ext>
              </a:extLst>
            </xdr:cNvPicPr>
          </xdr:nvPicPr>
          <xdr:blipFill>
            <a:blip xmlns:r="http://schemas.openxmlformats.org/officeDocument/2006/relationships" r:embed="rId9"/>
            <a:stretch>
              <a:fillRect/>
            </a:stretch>
          </xdr:blipFill>
          <xdr:spPr>
            <a:xfrm>
              <a:off x="6102359" y="2040255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20</xdr:row>
          <xdr:rowOff>0</xdr:rowOff>
        </xdr:from>
        <xdr:to>
          <xdr:col>4</xdr:col>
          <xdr:colOff>323351</xdr:colOff>
          <xdr:row>21</xdr:row>
          <xdr:rowOff>12192</xdr:rowOff>
        </xdr:to>
        <xdr:pic>
          <xdr:nvPicPr>
            <xdr:cNvPr id="115" name="Picture 114">
              <a:hlinkClick xmlns:r="http://schemas.openxmlformats.org/officeDocument/2006/relationships" r:id="rId90" tooltip="Go to monthly input"/>
              <a:extLst>
                <a:ext uri="{FF2B5EF4-FFF2-40B4-BE49-F238E27FC236}">
                  <a16:creationId xmlns:a16="http://schemas.microsoft.com/office/drawing/2014/main" id="{00000000-0008-0000-0F00-000073000000}"/>
                </a:ext>
              </a:extLst>
            </xdr:cNvPr>
            <xdr:cNvPicPr>
              <a:picLocks noChangeAspect="1"/>
              <a:extLst>
                <a:ext uri="{84589F7E-364E-4C9E-8A38-B11213B215E9}">
                  <a14:cameraTool cellRange="Picture" spid="_x0000_s14559"/>
                </a:ext>
              </a:extLst>
            </xdr:cNvPicPr>
          </xdr:nvPicPr>
          <xdr:blipFill>
            <a:blip xmlns:r="http://schemas.openxmlformats.org/officeDocument/2006/relationships" r:embed="rId9"/>
            <a:stretch>
              <a:fillRect/>
            </a:stretch>
          </xdr:blipFill>
          <xdr:spPr>
            <a:xfrm>
              <a:off x="6530984" y="1804988"/>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21</xdr:row>
          <xdr:rowOff>0</xdr:rowOff>
        </xdr:from>
        <xdr:to>
          <xdr:col>4</xdr:col>
          <xdr:colOff>323351</xdr:colOff>
          <xdr:row>22</xdr:row>
          <xdr:rowOff>12192</xdr:rowOff>
        </xdr:to>
        <xdr:pic>
          <xdr:nvPicPr>
            <xdr:cNvPr id="116" name="Picture 115">
              <a:hlinkClick xmlns:r="http://schemas.openxmlformats.org/officeDocument/2006/relationships" r:id="rId91" tooltip="Go to monthly input"/>
              <a:extLst>
                <a:ext uri="{FF2B5EF4-FFF2-40B4-BE49-F238E27FC236}">
                  <a16:creationId xmlns:a16="http://schemas.microsoft.com/office/drawing/2014/main" id="{00000000-0008-0000-0F00-000074000000}"/>
                </a:ext>
              </a:extLst>
            </xdr:cNvPr>
            <xdr:cNvPicPr>
              <a:picLocks noChangeAspect="1"/>
              <a:extLst>
                <a:ext uri="{84589F7E-364E-4C9E-8A38-B11213B215E9}">
                  <a14:cameraTool cellRange="Picture" spid="_x0000_s14560"/>
                </a:ext>
              </a:extLst>
            </xdr:cNvPicPr>
          </xdr:nvPicPr>
          <xdr:blipFill>
            <a:blip xmlns:r="http://schemas.openxmlformats.org/officeDocument/2006/relationships" r:embed="rId9"/>
            <a:stretch>
              <a:fillRect/>
            </a:stretch>
          </xdr:blipFill>
          <xdr:spPr>
            <a:xfrm>
              <a:off x="6530984" y="1957388"/>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23</xdr:row>
          <xdr:rowOff>0</xdr:rowOff>
        </xdr:from>
        <xdr:to>
          <xdr:col>4</xdr:col>
          <xdr:colOff>323351</xdr:colOff>
          <xdr:row>24</xdr:row>
          <xdr:rowOff>12192</xdr:rowOff>
        </xdr:to>
        <xdr:pic>
          <xdr:nvPicPr>
            <xdr:cNvPr id="117" name="Picture 116">
              <a:hlinkClick xmlns:r="http://schemas.openxmlformats.org/officeDocument/2006/relationships" r:id="rId92" tooltip="Go to monthly input"/>
              <a:extLst>
                <a:ext uri="{FF2B5EF4-FFF2-40B4-BE49-F238E27FC236}">
                  <a16:creationId xmlns:a16="http://schemas.microsoft.com/office/drawing/2014/main" id="{00000000-0008-0000-0F00-000075000000}"/>
                </a:ext>
              </a:extLst>
            </xdr:cNvPr>
            <xdr:cNvPicPr>
              <a:picLocks noChangeAspect="1"/>
              <a:extLst>
                <a:ext uri="{84589F7E-364E-4C9E-8A38-B11213B215E9}">
                  <a14:cameraTool cellRange="Picture" spid="_x0000_s14561"/>
                </a:ext>
              </a:extLst>
            </xdr:cNvPicPr>
          </xdr:nvPicPr>
          <xdr:blipFill>
            <a:blip xmlns:r="http://schemas.openxmlformats.org/officeDocument/2006/relationships" r:embed="rId9"/>
            <a:stretch>
              <a:fillRect/>
            </a:stretch>
          </xdr:blipFill>
          <xdr:spPr>
            <a:xfrm>
              <a:off x="6530984" y="2262188"/>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24</xdr:row>
          <xdr:rowOff>0</xdr:rowOff>
        </xdr:from>
        <xdr:to>
          <xdr:col>4</xdr:col>
          <xdr:colOff>323351</xdr:colOff>
          <xdr:row>25</xdr:row>
          <xdr:rowOff>12192</xdr:rowOff>
        </xdr:to>
        <xdr:pic>
          <xdr:nvPicPr>
            <xdr:cNvPr id="118" name="Picture 117">
              <a:hlinkClick xmlns:r="http://schemas.openxmlformats.org/officeDocument/2006/relationships" r:id="rId93" tooltip="Go to monthly input"/>
              <a:extLst>
                <a:ext uri="{FF2B5EF4-FFF2-40B4-BE49-F238E27FC236}">
                  <a16:creationId xmlns:a16="http://schemas.microsoft.com/office/drawing/2014/main" id="{00000000-0008-0000-0F00-000076000000}"/>
                </a:ext>
              </a:extLst>
            </xdr:cNvPr>
            <xdr:cNvPicPr>
              <a:picLocks noChangeAspect="1"/>
              <a:extLst>
                <a:ext uri="{84589F7E-364E-4C9E-8A38-B11213B215E9}">
                  <a14:cameraTool cellRange="Picture" spid="_x0000_s14562"/>
                </a:ext>
              </a:extLst>
            </xdr:cNvPicPr>
          </xdr:nvPicPr>
          <xdr:blipFill>
            <a:blip xmlns:r="http://schemas.openxmlformats.org/officeDocument/2006/relationships" r:embed="rId9"/>
            <a:stretch>
              <a:fillRect/>
            </a:stretch>
          </xdr:blipFill>
          <xdr:spPr>
            <a:xfrm>
              <a:off x="6530984" y="2414588"/>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25</xdr:row>
          <xdr:rowOff>0</xdr:rowOff>
        </xdr:from>
        <xdr:to>
          <xdr:col>4</xdr:col>
          <xdr:colOff>323351</xdr:colOff>
          <xdr:row>26</xdr:row>
          <xdr:rowOff>12192</xdr:rowOff>
        </xdr:to>
        <xdr:pic>
          <xdr:nvPicPr>
            <xdr:cNvPr id="138" name="Picture 137">
              <a:hlinkClick xmlns:r="http://schemas.openxmlformats.org/officeDocument/2006/relationships" r:id="rId94" tooltip="Go to monthly input"/>
              <a:extLst>
                <a:ext uri="{FF2B5EF4-FFF2-40B4-BE49-F238E27FC236}">
                  <a16:creationId xmlns:a16="http://schemas.microsoft.com/office/drawing/2014/main" id="{00000000-0008-0000-0F00-00008A000000}"/>
                </a:ext>
              </a:extLst>
            </xdr:cNvPr>
            <xdr:cNvPicPr>
              <a:picLocks noChangeAspect="1"/>
              <a:extLst>
                <a:ext uri="{84589F7E-364E-4C9E-8A38-B11213B215E9}">
                  <a14:cameraTool cellRange="Picture" spid="_x0000_s14563"/>
                </a:ext>
              </a:extLst>
            </xdr:cNvPicPr>
          </xdr:nvPicPr>
          <xdr:blipFill>
            <a:blip xmlns:r="http://schemas.openxmlformats.org/officeDocument/2006/relationships" r:embed="rId9"/>
            <a:stretch>
              <a:fillRect/>
            </a:stretch>
          </xdr:blipFill>
          <xdr:spPr>
            <a:xfrm>
              <a:off x="6530984" y="2566988"/>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26</xdr:row>
          <xdr:rowOff>0</xdr:rowOff>
        </xdr:from>
        <xdr:to>
          <xdr:col>4</xdr:col>
          <xdr:colOff>323351</xdr:colOff>
          <xdr:row>27</xdr:row>
          <xdr:rowOff>12192</xdr:rowOff>
        </xdr:to>
        <xdr:pic>
          <xdr:nvPicPr>
            <xdr:cNvPr id="140" name="Picture 139">
              <a:hlinkClick xmlns:r="http://schemas.openxmlformats.org/officeDocument/2006/relationships" r:id="rId95" tooltip="Go to monthly input"/>
              <a:extLst>
                <a:ext uri="{FF2B5EF4-FFF2-40B4-BE49-F238E27FC236}">
                  <a16:creationId xmlns:a16="http://schemas.microsoft.com/office/drawing/2014/main" id="{00000000-0008-0000-0F00-00008C000000}"/>
                </a:ext>
              </a:extLst>
            </xdr:cNvPr>
            <xdr:cNvPicPr>
              <a:picLocks noChangeAspect="1"/>
              <a:extLst>
                <a:ext uri="{84589F7E-364E-4C9E-8A38-B11213B215E9}">
                  <a14:cameraTool cellRange="Picture" spid="_x0000_s14564"/>
                </a:ext>
              </a:extLst>
            </xdr:cNvPicPr>
          </xdr:nvPicPr>
          <xdr:blipFill>
            <a:blip xmlns:r="http://schemas.openxmlformats.org/officeDocument/2006/relationships" r:embed="rId9"/>
            <a:stretch>
              <a:fillRect/>
            </a:stretch>
          </xdr:blipFill>
          <xdr:spPr>
            <a:xfrm>
              <a:off x="6530984" y="2719388"/>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27</xdr:row>
          <xdr:rowOff>0</xdr:rowOff>
        </xdr:from>
        <xdr:to>
          <xdr:col>4</xdr:col>
          <xdr:colOff>323351</xdr:colOff>
          <xdr:row>28</xdr:row>
          <xdr:rowOff>12192</xdr:rowOff>
        </xdr:to>
        <xdr:pic>
          <xdr:nvPicPr>
            <xdr:cNvPr id="144" name="Picture 143">
              <a:hlinkClick xmlns:r="http://schemas.openxmlformats.org/officeDocument/2006/relationships" r:id="rId96" tooltip="Go to monthly input"/>
              <a:extLst>
                <a:ext uri="{FF2B5EF4-FFF2-40B4-BE49-F238E27FC236}">
                  <a16:creationId xmlns:a16="http://schemas.microsoft.com/office/drawing/2014/main" id="{00000000-0008-0000-0F00-000090000000}"/>
                </a:ext>
              </a:extLst>
            </xdr:cNvPr>
            <xdr:cNvPicPr>
              <a:picLocks noChangeAspect="1"/>
              <a:extLst>
                <a:ext uri="{84589F7E-364E-4C9E-8A38-B11213B215E9}">
                  <a14:cameraTool cellRange="Picture" spid="_x0000_s14565"/>
                </a:ext>
              </a:extLst>
            </xdr:cNvPicPr>
          </xdr:nvPicPr>
          <xdr:blipFill>
            <a:blip xmlns:r="http://schemas.openxmlformats.org/officeDocument/2006/relationships" r:embed="rId9"/>
            <a:stretch>
              <a:fillRect/>
            </a:stretch>
          </xdr:blipFill>
          <xdr:spPr>
            <a:xfrm>
              <a:off x="6530984" y="2871788"/>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154</xdr:row>
          <xdr:rowOff>0</xdr:rowOff>
        </xdr:from>
        <xdr:to>
          <xdr:col>4</xdr:col>
          <xdr:colOff>323351</xdr:colOff>
          <xdr:row>155</xdr:row>
          <xdr:rowOff>10074</xdr:rowOff>
        </xdr:to>
        <xdr:pic>
          <xdr:nvPicPr>
            <xdr:cNvPr id="145" name="Picture 144">
              <a:hlinkClick xmlns:r="http://schemas.openxmlformats.org/officeDocument/2006/relationships" r:id="rId91" tooltip="Go to monthly input"/>
              <a:extLst>
                <a:ext uri="{FF2B5EF4-FFF2-40B4-BE49-F238E27FC236}">
                  <a16:creationId xmlns:a16="http://schemas.microsoft.com/office/drawing/2014/main" id="{00000000-0008-0000-0F00-000091000000}"/>
                </a:ext>
              </a:extLst>
            </xdr:cNvPr>
            <xdr:cNvPicPr>
              <a:picLocks noChangeAspect="1"/>
              <a:extLst>
                <a:ext uri="{84589F7E-364E-4C9E-8A38-B11213B215E9}">
                  <a14:cameraTool cellRange="Picture" spid="_x0000_s14566"/>
                </a:ext>
              </a:extLst>
            </xdr:cNvPicPr>
          </xdr:nvPicPr>
          <xdr:blipFill>
            <a:blip xmlns:r="http://schemas.openxmlformats.org/officeDocument/2006/relationships" r:embed="rId9"/>
            <a:stretch>
              <a:fillRect/>
            </a:stretch>
          </xdr:blipFill>
          <xdr:spPr>
            <a:xfrm>
              <a:off x="6102359" y="11563350"/>
              <a:ext cx="164592" cy="168824"/>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52</xdr:row>
          <xdr:rowOff>0</xdr:rowOff>
        </xdr:from>
        <xdr:to>
          <xdr:col>4</xdr:col>
          <xdr:colOff>323351</xdr:colOff>
          <xdr:row>53</xdr:row>
          <xdr:rowOff>10139</xdr:rowOff>
        </xdr:to>
        <xdr:pic>
          <xdr:nvPicPr>
            <xdr:cNvPr id="148" name="Picture 147">
              <a:hlinkClick xmlns:r="http://schemas.openxmlformats.org/officeDocument/2006/relationships" r:id="rId97" tooltip="Go to monthly input"/>
              <a:extLst>
                <a:ext uri="{FF2B5EF4-FFF2-40B4-BE49-F238E27FC236}">
                  <a16:creationId xmlns:a16="http://schemas.microsoft.com/office/drawing/2014/main" id="{00000000-0008-0000-0F00-000094000000}"/>
                </a:ext>
              </a:extLst>
            </xdr:cNvPr>
            <xdr:cNvPicPr>
              <a:picLocks noChangeAspect="1"/>
              <a:extLst>
                <a:ext uri="{84589F7E-364E-4C9E-8A38-B11213B215E9}">
                  <a14:cameraTool cellRange="Picture" spid="_x0000_s14567"/>
                </a:ext>
              </a:extLst>
            </xdr:cNvPicPr>
          </xdr:nvPicPr>
          <xdr:blipFill>
            <a:blip xmlns:r="http://schemas.openxmlformats.org/officeDocument/2006/relationships" r:embed="rId9"/>
            <a:stretch>
              <a:fillRect/>
            </a:stretch>
          </xdr:blipFill>
          <xdr:spPr>
            <a:xfrm>
              <a:off x="6102359" y="6896100"/>
              <a:ext cx="164592" cy="162539"/>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51</xdr:row>
          <xdr:rowOff>0</xdr:rowOff>
        </xdr:from>
        <xdr:to>
          <xdr:col>4</xdr:col>
          <xdr:colOff>323351</xdr:colOff>
          <xdr:row>52</xdr:row>
          <xdr:rowOff>16425</xdr:rowOff>
        </xdr:to>
        <xdr:pic>
          <xdr:nvPicPr>
            <xdr:cNvPr id="149" name="Picture 148">
              <a:hlinkClick xmlns:r="http://schemas.openxmlformats.org/officeDocument/2006/relationships" r:id="rId98" tooltip="Go to monthly input"/>
              <a:extLst>
                <a:ext uri="{FF2B5EF4-FFF2-40B4-BE49-F238E27FC236}">
                  <a16:creationId xmlns:a16="http://schemas.microsoft.com/office/drawing/2014/main" id="{00000000-0008-0000-0F00-000095000000}"/>
                </a:ext>
              </a:extLst>
            </xdr:cNvPr>
            <xdr:cNvPicPr>
              <a:picLocks noChangeAspect="1"/>
              <a:extLst>
                <a:ext uri="{84589F7E-364E-4C9E-8A38-B11213B215E9}">
                  <a14:cameraTool cellRange="Picture" spid="_x0000_s14568"/>
                </a:ext>
              </a:extLst>
            </xdr:cNvPicPr>
          </xdr:nvPicPr>
          <xdr:blipFill>
            <a:blip xmlns:r="http://schemas.openxmlformats.org/officeDocument/2006/relationships" r:embed="rId9"/>
            <a:stretch>
              <a:fillRect/>
            </a:stretch>
          </xdr:blipFill>
          <xdr:spPr>
            <a:xfrm>
              <a:off x="6102359" y="6743700"/>
              <a:ext cx="164592" cy="168825"/>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22</xdr:row>
          <xdr:rowOff>0</xdr:rowOff>
        </xdr:from>
        <xdr:to>
          <xdr:col>4</xdr:col>
          <xdr:colOff>323351</xdr:colOff>
          <xdr:row>23</xdr:row>
          <xdr:rowOff>12192</xdr:rowOff>
        </xdr:to>
        <xdr:pic>
          <xdr:nvPicPr>
            <xdr:cNvPr id="150" name="Picture 149">
              <a:hlinkClick xmlns:r="http://schemas.openxmlformats.org/officeDocument/2006/relationships" r:id="rId99" tooltip="Go to monthly input"/>
              <a:extLst>
                <a:ext uri="{FF2B5EF4-FFF2-40B4-BE49-F238E27FC236}">
                  <a16:creationId xmlns:a16="http://schemas.microsoft.com/office/drawing/2014/main" id="{00000000-0008-0000-0F00-000096000000}"/>
                </a:ext>
              </a:extLst>
            </xdr:cNvPr>
            <xdr:cNvPicPr>
              <a:picLocks noChangeAspect="1"/>
              <a:extLst>
                <a:ext uri="{84589F7E-364E-4C9E-8A38-B11213B215E9}">
                  <a14:cameraTool cellRange="Picture" spid="_x0000_s14569"/>
                </a:ext>
              </a:extLst>
            </xdr:cNvPicPr>
          </xdr:nvPicPr>
          <xdr:blipFill>
            <a:blip xmlns:r="http://schemas.openxmlformats.org/officeDocument/2006/relationships" r:embed="rId9"/>
            <a:stretch>
              <a:fillRect/>
            </a:stretch>
          </xdr:blipFill>
          <xdr:spPr>
            <a:xfrm>
              <a:off x="6530984" y="2109788"/>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145</xdr:row>
          <xdr:rowOff>0</xdr:rowOff>
        </xdr:from>
        <xdr:to>
          <xdr:col>4</xdr:col>
          <xdr:colOff>323351</xdr:colOff>
          <xdr:row>146</xdr:row>
          <xdr:rowOff>10074</xdr:rowOff>
        </xdr:to>
        <xdr:pic>
          <xdr:nvPicPr>
            <xdr:cNvPr id="151" name="Picture 150">
              <a:hlinkClick xmlns:r="http://schemas.openxmlformats.org/officeDocument/2006/relationships" r:id="rId99" tooltip="Go to monthly input"/>
              <a:extLst>
                <a:ext uri="{FF2B5EF4-FFF2-40B4-BE49-F238E27FC236}">
                  <a16:creationId xmlns:a16="http://schemas.microsoft.com/office/drawing/2014/main" id="{00000000-0008-0000-0F00-000097000000}"/>
                </a:ext>
              </a:extLst>
            </xdr:cNvPr>
            <xdr:cNvPicPr>
              <a:picLocks noChangeAspect="1"/>
              <a:extLst>
                <a:ext uri="{84589F7E-364E-4C9E-8A38-B11213B215E9}">
                  <a14:cameraTool cellRange="Picture" spid="_x0000_s14570"/>
                </a:ext>
              </a:extLst>
            </xdr:cNvPicPr>
          </xdr:nvPicPr>
          <xdr:blipFill>
            <a:blip xmlns:r="http://schemas.openxmlformats.org/officeDocument/2006/relationships" r:embed="rId9"/>
            <a:stretch>
              <a:fillRect/>
            </a:stretch>
          </xdr:blipFill>
          <xdr:spPr>
            <a:xfrm>
              <a:off x="6102359" y="10172700"/>
              <a:ext cx="164592" cy="171999"/>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147</xdr:row>
          <xdr:rowOff>0</xdr:rowOff>
        </xdr:from>
        <xdr:to>
          <xdr:col>4</xdr:col>
          <xdr:colOff>323351</xdr:colOff>
          <xdr:row>148</xdr:row>
          <xdr:rowOff>9016</xdr:rowOff>
        </xdr:to>
        <xdr:pic>
          <xdr:nvPicPr>
            <xdr:cNvPr id="152" name="Picture 151">
              <a:hlinkClick xmlns:r="http://schemas.openxmlformats.org/officeDocument/2006/relationships" r:id="rId100" tooltip="Go to monthly input"/>
              <a:extLst>
                <a:ext uri="{FF2B5EF4-FFF2-40B4-BE49-F238E27FC236}">
                  <a16:creationId xmlns:a16="http://schemas.microsoft.com/office/drawing/2014/main" id="{00000000-0008-0000-0F00-000098000000}"/>
                </a:ext>
              </a:extLst>
            </xdr:cNvPr>
            <xdr:cNvPicPr>
              <a:picLocks noChangeAspect="1"/>
              <a:extLst>
                <a:ext uri="{84589F7E-364E-4C9E-8A38-B11213B215E9}">
                  <a14:cameraTool cellRange="Picture" spid="_x0000_s14571"/>
                </a:ext>
              </a:extLst>
            </xdr:cNvPicPr>
          </xdr:nvPicPr>
          <xdr:blipFill>
            <a:blip xmlns:r="http://schemas.openxmlformats.org/officeDocument/2006/relationships" r:embed="rId9"/>
            <a:stretch>
              <a:fillRect/>
            </a:stretch>
          </xdr:blipFill>
          <xdr:spPr>
            <a:xfrm>
              <a:off x="6102359" y="10334625"/>
              <a:ext cx="164592" cy="171999"/>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147</xdr:row>
          <xdr:rowOff>0</xdr:rowOff>
        </xdr:from>
        <xdr:to>
          <xdr:col>4</xdr:col>
          <xdr:colOff>323351</xdr:colOff>
          <xdr:row>148</xdr:row>
          <xdr:rowOff>10074</xdr:rowOff>
        </xdr:to>
        <xdr:pic>
          <xdr:nvPicPr>
            <xdr:cNvPr id="153" name="Picture 152">
              <a:hlinkClick xmlns:r="http://schemas.openxmlformats.org/officeDocument/2006/relationships" r:id="rId95" tooltip="Go to monthly input"/>
              <a:extLst>
                <a:ext uri="{FF2B5EF4-FFF2-40B4-BE49-F238E27FC236}">
                  <a16:creationId xmlns:a16="http://schemas.microsoft.com/office/drawing/2014/main" id="{00000000-0008-0000-0F00-000099000000}"/>
                </a:ext>
              </a:extLst>
            </xdr:cNvPr>
            <xdr:cNvPicPr>
              <a:picLocks noChangeAspect="1"/>
              <a:extLst>
                <a:ext uri="{84589F7E-364E-4C9E-8A38-B11213B215E9}">
                  <a14:cameraTool cellRange="Picture" spid="_x0000_s14572"/>
                </a:ext>
              </a:extLst>
            </xdr:cNvPicPr>
          </xdr:nvPicPr>
          <xdr:blipFill>
            <a:blip xmlns:r="http://schemas.openxmlformats.org/officeDocument/2006/relationships" r:embed="rId9"/>
            <a:stretch>
              <a:fillRect/>
            </a:stretch>
          </xdr:blipFill>
          <xdr:spPr>
            <a:xfrm>
              <a:off x="6102359" y="10496550"/>
              <a:ext cx="164592" cy="171999"/>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148</xdr:row>
          <xdr:rowOff>0</xdr:rowOff>
        </xdr:from>
        <xdr:to>
          <xdr:col>4</xdr:col>
          <xdr:colOff>323351</xdr:colOff>
          <xdr:row>149</xdr:row>
          <xdr:rowOff>10075</xdr:rowOff>
        </xdr:to>
        <xdr:pic>
          <xdr:nvPicPr>
            <xdr:cNvPr id="154" name="Picture 153">
              <a:hlinkClick xmlns:r="http://schemas.openxmlformats.org/officeDocument/2006/relationships" r:id="rId101" tooltip="Go to monthly input"/>
              <a:extLst>
                <a:ext uri="{FF2B5EF4-FFF2-40B4-BE49-F238E27FC236}">
                  <a16:creationId xmlns:a16="http://schemas.microsoft.com/office/drawing/2014/main" id="{00000000-0008-0000-0F00-00009A000000}"/>
                </a:ext>
              </a:extLst>
            </xdr:cNvPr>
            <xdr:cNvPicPr>
              <a:picLocks noChangeAspect="1"/>
              <a:extLst>
                <a:ext uri="{84589F7E-364E-4C9E-8A38-B11213B215E9}">
                  <a14:cameraTool cellRange="Picture" spid="_x0000_s14573"/>
                </a:ext>
              </a:extLst>
            </xdr:cNvPicPr>
          </xdr:nvPicPr>
          <xdr:blipFill>
            <a:blip xmlns:r="http://schemas.openxmlformats.org/officeDocument/2006/relationships" r:embed="rId9"/>
            <a:stretch>
              <a:fillRect/>
            </a:stretch>
          </xdr:blipFill>
          <xdr:spPr>
            <a:xfrm>
              <a:off x="6102359" y="10648950"/>
              <a:ext cx="164592" cy="171999"/>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70</xdr:row>
          <xdr:rowOff>0</xdr:rowOff>
        </xdr:from>
        <xdr:to>
          <xdr:col>4</xdr:col>
          <xdr:colOff>323351</xdr:colOff>
          <xdr:row>71</xdr:row>
          <xdr:rowOff>16423</xdr:rowOff>
        </xdr:to>
        <xdr:pic>
          <xdr:nvPicPr>
            <xdr:cNvPr id="162" name="Picture 161">
              <a:hlinkClick xmlns:r="http://schemas.openxmlformats.org/officeDocument/2006/relationships" r:id="rId102" tooltip="Go to monthly input"/>
              <a:extLst>
                <a:ext uri="{FF2B5EF4-FFF2-40B4-BE49-F238E27FC236}">
                  <a16:creationId xmlns:a16="http://schemas.microsoft.com/office/drawing/2014/main" id="{00000000-0008-0000-0F00-0000A2000000}"/>
                </a:ext>
              </a:extLst>
            </xdr:cNvPr>
            <xdr:cNvPicPr>
              <a:picLocks noChangeAspect="1"/>
              <a:extLst>
                <a:ext uri="{84589F7E-364E-4C9E-8A38-B11213B215E9}">
                  <a14:cameraTool cellRange="Picture" spid="_x0000_s14574"/>
                </a:ext>
              </a:extLst>
            </xdr:cNvPicPr>
          </xdr:nvPicPr>
          <xdr:blipFill>
            <a:blip xmlns:r="http://schemas.openxmlformats.org/officeDocument/2006/relationships" r:embed="rId9"/>
            <a:stretch>
              <a:fillRect/>
            </a:stretch>
          </xdr:blipFill>
          <xdr:spPr>
            <a:xfrm>
              <a:off x="6102359" y="9134475"/>
              <a:ext cx="164592" cy="168823"/>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72</xdr:row>
          <xdr:rowOff>0</xdr:rowOff>
        </xdr:from>
        <xdr:to>
          <xdr:col>4</xdr:col>
          <xdr:colOff>323351</xdr:colOff>
          <xdr:row>73</xdr:row>
          <xdr:rowOff>16426</xdr:rowOff>
        </xdr:to>
        <xdr:pic>
          <xdr:nvPicPr>
            <xdr:cNvPr id="163" name="Picture 162">
              <a:hlinkClick xmlns:r="http://schemas.openxmlformats.org/officeDocument/2006/relationships" r:id="rId103" tooltip="Go to monthly input"/>
              <a:extLst>
                <a:ext uri="{FF2B5EF4-FFF2-40B4-BE49-F238E27FC236}">
                  <a16:creationId xmlns:a16="http://schemas.microsoft.com/office/drawing/2014/main" id="{00000000-0008-0000-0F00-0000A3000000}"/>
                </a:ext>
              </a:extLst>
            </xdr:cNvPr>
            <xdr:cNvPicPr>
              <a:picLocks noChangeAspect="1"/>
              <a:extLst>
                <a:ext uri="{84589F7E-364E-4C9E-8A38-B11213B215E9}">
                  <a14:cameraTool cellRange="Picture" spid="_x0000_s14575"/>
                </a:ext>
              </a:extLst>
            </xdr:cNvPicPr>
          </xdr:nvPicPr>
          <xdr:blipFill>
            <a:blip xmlns:r="http://schemas.openxmlformats.org/officeDocument/2006/relationships" r:embed="rId9"/>
            <a:stretch>
              <a:fillRect/>
            </a:stretch>
          </xdr:blipFill>
          <xdr:spPr>
            <a:xfrm>
              <a:off x="6102359" y="9286875"/>
              <a:ext cx="164592" cy="168825"/>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73</xdr:row>
          <xdr:rowOff>0</xdr:rowOff>
        </xdr:from>
        <xdr:to>
          <xdr:col>4</xdr:col>
          <xdr:colOff>323351</xdr:colOff>
          <xdr:row>74</xdr:row>
          <xdr:rowOff>15368</xdr:rowOff>
        </xdr:to>
        <xdr:pic>
          <xdr:nvPicPr>
            <xdr:cNvPr id="164" name="Picture 163">
              <a:hlinkClick xmlns:r="http://schemas.openxmlformats.org/officeDocument/2006/relationships" r:id="rId104" tooltip="Go to monthly input"/>
              <a:extLst>
                <a:ext uri="{FF2B5EF4-FFF2-40B4-BE49-F238E27FC236}">
                  <a16:creationId xmlns:a16="http://schemas.microsoft.com/office/drawing/2014/main" id="{00000000-0008-0000-0F00-0000A4000000}"/>
                </a:ext>
              </a:extLst>
            </xdr:cNvPr>
            <xdr:cNvPicPr>
              <a:picLocks noChangeAspect="1"/>
              <a:extLst>
                <a:ext uri="{84589F7E-364E-4C9E-8A38-B11213B215E9}">
                  <a14:cameraTool cellRange="Picture" spid="_x0000_s14576"/>
                </a:ext>
              </a:extLst>
            </xdr:cNvPicPr>
          </xdr:nvPicPr>
          <xdr:blipFill>
            <a:blip xmlns:r="http://schemas.openxmlformats.org/officeDocument/2006/relationships" r:embed="rId9"/>
            <a:stretch>
              <a:fillRect/>
            </a:stretch>
          </xdr:blipFill>
          <xdr:spPr>
            <a:xfrm>
              <a:off x="6102359" y="9439275"/>
              <a:ext cx="164592" cy="167769"/>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65</xdr:row>
          <xdr:rowOff>0</xdr:rowOff>
        </xdr:from>
        <xdr:to>
          <xdr:col>4</xdr:col>
          <xdr:colOff>323351</xdr:colOff>
          <xdr:row>68</xdr:row>
          <xdr:rowOff>16428</xdr:rowOff>
        </xdr:to>
        <xdr:pic>
          <xdr:nvPicPr>
            <xdr:cNvPr id="166" name="Picture 165">
              <a:hlinkClick xmlns:r="http://schemas.openxmlformats.org/officeDocument/2006/relationships" r:id="rId105" tooltip="Go to monthly input"/>
              <a:extLst>
                <a:ext uri="{FF2B5EF4-FFF2-40B4-BE49-F238E27FC236}">
                  <a16:creationId xmlns:a16="http://schemas.microsoft.com/office/drawing/2014/main" id="{00000000-0008-0000-0F00-0000A6000000}"/>
                </a:ext>
              </a:extLst>
            </xdr:cNvPr>
            <xdr:cNvPicPr>
              <a:picLocks noChangeAspect="1"/>
              <a:extLst>
                <a:ext uri="{84589F7E-364E-4C9E-8A38-B11213B215E9}">
                  <a14:cameraTool cellRange="Picture" spid="_x0000_s14577"/>
                </a:ext>
              </a:extLst>
            </xdr:cNvPicPr>
          </xdr:nvPicPr>
          <xdr:blipFill>
            <a:blip xmlns:r="http://schemas.openxmlformats.org/officeDocument/2006/relationships" r:embed="rId9"/>
            <a:stretch>
              <a:fillRect/>
            </a:stretch>
          </xdr:blipFill>
          <xdr:spPr>
            <a:xfrm>
              <a:off x="6461588" y="8213271"/>
              <a:ext cx="164592" cy="168828"/>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64</xdr:row>
          <xdr:rowOff>0</xdr:rowOff>
        </xdr:from>
        <xdr:to>
          <xdr:col>4</xdr:col>
          <xdr:colOff>323351</xdr:colOff>
          <xdr:row>67</xdr:row>
          <xdr:rowOff>19599</xdr:rowOff>
        </xdr:to>
        <xdr:pic>
          <xdr:nvPicPr>
            <xdr:cNvPr id="167" name="Picture 166">
              <a:hlinkClick xmlns:r="http://schemas.openxmlformats.org/officeDocument/2006/relationships" r:id="rId101" tooltip="Go to monthly input"/>
              <a:extLst>
                <a:ext uri="{FF2B5EF4-FFF2-40B4-BE49-F238E27FC236}">
                  <a16:creationId xmlns:a16="http://schemas.microsoft.com/office/drawing/2014/main" id="{00000000-0008-0000-0F00-0000A7000000}"/>
                </a:ext>
              </a:extLst>
            </xdr:cNvPr>
            <xdr:cNvPicPr>
              <a:picLocks noChangeAspect="1"/>
              <a:extLst>
                <a:ext uri="{84589F7E-364E-4C9E-8A38-B11213B215E9}">
                  <a14:cameraTool cellRange="Picture" spid="_x0000_s14578"/>
                </a:ext>
              </a:extLst>
            </xdr:cNvPicPr>
          </xdr:nvPicPr>
          <xdr:blipFill>
            <a:blip xmlns:r="http://schemas.openxmlformats.org/officeDocument/2006/relationships" r:embed="rId9"/>
            <a:stretch>
              <a:fillRect/>
            </a:stretch>
          </xdr:blipFill>
          <xdr:spPr>
            <a:xfrm>
              <a:off x="6102359" y="8829675"/>
              <a:ext cx="164592" cy="171999"/>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63</xdr:row>
          <xdr:rowOff>0</xdr:rowOff>
        </xdr:from>
        <xdr:to>
          <xdr:col>4</xdr:col>
          <xdr:colOff>323351</xdr:colOff>
          <xdr:row>64</xdr:row>
          <xdr:rowOff>16427</xdr:rowOff>
        </xdr:to>
        <xdr:pic>
          <xdr:nvPicPr>
            <xdr:cNvPr id="168" name="Picture 167">
              <a:hlinkClick xmlns:r="http://schemas.openxmlformats.org/officeDocument/2006/relationships" r:id="rId106" tooltip="Go to monthly input"/>
              <a:extLst>
                <a:ext uri="{FF2B5EF4-FFF2-40B4-BE49-F238E27FC236}">
                  <a16:creationId xmlns:a16="http://schemas.microsoft.com/office/drawing/2014/main" id="{00000000-0008-0000-0F00-0000A8000000}"/>
                </a:ext>
              </a:extLst>
            </xdr:cNvPr>
            <xdr:cNvPicPr>
              <a:picLocks noChangeAspect="1"/>
              <a:extLst>
                <a:ext uri="{84589F7E-364E-4C9E-8A38-B11213B215E9}">
                  <a14:cameraTool cellRange="Picture" spid="_x0000_s14579"/>
                </a:ext>
              </a:extLst>
            </xdr:cNvPicPr>
          </xdr:nvPicPr>
          <xdr:blipFill>
            <a:blip xmlns:r="http://schemas.openxmlformats.org/officeDocument/2006/relationships" r:embed="rId9"/>
            <a:stretch>
              <a:fillRect/>
            </a:stretch>
          </xdr:blipFill>
          <xdr:spPr>
            <a:xfrm>
              <a:off x="6102359" y="8677275"/>
              <a:ext cx="164592" cy="168827"/>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63</xdr:row>
          <xdr:rowOff>0</xdr:rowOff>
        </xdr:from>
        <xdr:to>
          <xdr:col>4</xdr:col>
          <xdr:colOff>323351</xdr:colOff>
          <xdr:row>64</xdr:row>
          <xdr:rowOff>16424</xdr:rowOff>
        </xdr:to>
        <xdr:pic>
          <xdr:nvPicPr>
            <xdr:cNvPr id="169" name="Picture 168">
              <a:hlinkClick xmlns:r="http://schemas.openxmlformats.org/officeDocument/2006/relationships" r:id="rId107" tooltip="Go to monthly input"/>
              <a:extLst>
                <a:ext uri="{FF2B5EF4-FFF2-40B4-BE49-F238E27FC236}">
                  <a16:creationId xmlns:a16="http://schemas.microsoft.com/office/drawing/2014/main" id="{00000000-0008-0000-0F00-0000A9000000}"/>
                </a:ext>
              </a:extLst>
            </xdr:cNvPr>
            <xdr:cNvPicPr>
              <a:picLocks noChangeAspect="1"/>
              <a:extLst>
                <a:ext uri="{84589F7E-364E-4C9E-8A38-B11213B215E9}">
                  <a14:cameraTool cellRange="Picture" spid="_x0000_s14580"/>
                </a:ext>
              </a:extLst>
            </xdr:cNvPicPr>
          </xdr:nvPicPr>
          <xdr:blipFill>
            <a:blip xmlns:r="http://schemas.openxmlformats.org/officeDocument/2006/relationships" r:embed="rId9"/>
            <a:stretch>
              <a:fillRect/>
            </a:stretch>
          </xdr:blipFill>
          <xdr:spPr>
            <a:xfrm>
              <a:off x="6102359" y="8524875"/>
              <a:ext cx="164592" cy="168824"/>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62</xdr:row>
          <xdr:rowOff>0</xdr:rowOff>
        </xdr:from>
        <xdr:to>
          <xdr:col>4</xdr:col>
          <xdr:colOff>323351</xdr:colOff>
          <xdr:row>63</xdr:row>
          <xdr:rowOff>16424</xdr:rowOff>
        </xdr:to>
        <xdr:pic>
          <xdr:nvPicPr>
            <xdr:cNvPr id="170" name="Picture 169">
              <a:hlinkClick xmlns:r="http://schemas.openxmlformats.org/officeDocument/2006/relationships" r:id="rId108" tooltip="Go to monthly input"/>
              <a:extLst>
                <a:ext uri="{FF2B5EF4-FFF2-40B4-BE49-F238E27FC236}">
                  <a16:creationId xmlns:a16="http://schemas.microsoft.com/office/drawing/2014/main" id="{00000000-0008-0000-0F00-0000AA000000}"/>
                </a:ext>
              </a:extLst>
            </xdr:cNvPr>
            <xdr:cNvPicPr>
              <a:picLocks noChangeAspect="1"/>
              <a:extLst>
                <a:ext uri="{84589F7E-364E-4C9E-8A38-B11213B215E9}">
                  <a14:cameraTool cellRange="Picture" spid="_x0000_s14581"/>
                </a:ext>
              </a:extLst>
            </xdr:cNvPicPr>
          </xdr:nvPicPr>
          <xdr:blipFill>
            <a:blip xmlns:r="http://schemas.openxmlformats.org/officeDocument/2006/relationships" r:embed="rId9"/>
            <a:stretch>
              <a:fillRect/>
            </a:stretch>
          </xdr:blipFill>
          <xdr:spPr>
            <a:xfrm>
              <a:off x="6102359" y="8372475"/>
              <a:ext cx="164592" cy="168824"/>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58</xdr:row>
          <xdr:rowOff>0</xdr:rowOff>
        </xdr:from>
        <xdr:to>
          <xdr:col>4</xdr:col>
          <xdr:colOff>323351</xdr:colOff>
          <xdr:row>59</xdr:row>
          <xdr:rowOff>10137</xdr:rowOff>
        </xdr:to>
        <xdr:pic>
          <xdr:nvPicPr>
            <xdr:cNvPr id="171" name="Picture 170">
              <a:hlinkClick xmlns:r="http://schemas.openxmlformats.org/officeDocument/2006/relationships" r:id="rId109" tooltip="Go to monthly input"/>
              <a:extLst>
                <a:ext uri="{FF2B5EF4-FFF2-40B4-BE49-F238E27FC236}">
                  <a16:creationId xmlns:a16="http://schemas.microsoft.com/office/drawing/2014/main" id="{00000000-0008-0000-0F00-0000AB000000}"/>
                </a:ext>
              </a:extLst>
            </xdr:cNvPr>
            <xdr:cNvPicPr>
              <a:picLocks noChangeAspect="1"/>
              <a:extLst>
                <a:ext uri="{84589F7E-364E-4C9E-8A38-B11213B215E9}">
                  <a14:cameraTool cellRange="Picture" spid="_x0000_s14582"/>
                </a:ext>
              </a:extLst>
            </xdr:cNvPicPr>
          </xdr:nvPicPr>
          <xdr:blipFill>
            <a:blip xmlns:r="http://schemas.openxmlformats.org/officeDocument/2006/relationships" r:embed="rId9"/>
            <a:stretch>
              <a:fillRect/>
            </a:stretch>
          </xdr:blipFill>
          <xdr:spPr>
            <a:xfrm>
              <a:off x="6102359" y="7867650"/>
              <a:ext cx="164592" cy="162537"/>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33</xdr:row>
          <xdr:rowOff>0</xdr:rowOff>
        </xdr:from>
        <xdr:to>
          <xdr:col>4</xdr:col>
          <xdr:colOff>323351</xdr:colOff>
          <xdr:row>34</xdr:row>
          <xdr:rowOff>12254</xdr:rowOff>
        </xdr:to>
        <xdr:pic>
          <xdr:nvPicPr>
            <xdr:cNvPr id="172" name="Picture 171">
              <a:hlinkClick xmlns:r="http://schemas.openxmlformats.org/officeDocument/2006/relationships" r:id="rId110" tooltip="Go to monthly input"/>
              <a:extLst>
                <a:ext uri="{FF2B5EF4-FFF2-40B4-BE49-F238E27FC236}">
                  <a16:creationId xmlns:a16="http://schemas.microsoft.com/office/drawing/2014/main" id="{00000000-0008-0000-0F00-0000AC000000}"/>
                </a:ext>
              </a:extLst>
            </xdr:cNvPr>
            <xdr:cNvPicPr>
              <a:picLocks noChangeAspect="1"/>
              <a:extLst>
                <a:ext uri="{84589F7E-364E-4C9E-8A38-B11213B215E9}">
                  <a14:cameraTool cellRange="Picture" spid="_x0000_s14583"/>
                </a:ext>
              </a:extLst>
            </xdr:cNvPicPr>
          </xdr:nvPicPr>
          <xdr:blipFill>
            <a:blip xmlns:r="http://schemas.openxmlformats.org/officeDocument/2006/relationships" r:embed="rId9"/>
            <a:stretch>
              <a:fillRect/>
            </a:stretch>
          </xdr:blipFill>
          <xdr:spPr>
            <a:xfrm>
              <a:off x="6102359" y="3667125"/>
              <a:ext cx="164592" cy="164654"/>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34</xdr:row>
          <xdr:rowOff>0</xdr:rowOff>
        </xdr:from>
        <xdr:to>
          <xdr:col>4</xdr:col>
          <xdr:colOff>323351</xdr:colOff>
          <xdr:row>35</xdr:row>
          <xdr:rowOff>12254</xdr:rowOff>
        </xdr:to>
        <xdr:pic>
          <xdr:nvPicPr>
            <xdr:cNvPr id="173" name="Picture 172">
              <a:hlinkClick xmlns:r="http://schemas.openxmlformats.org/officeDocument/2006/relationships" r:id="rId111" tooltip="Go to monthly input"/>
              <a:extLst>
                <a:ext uri="{FF2B5EF4-FFF2-40B4-BE49-F238E27FC236}">
                  <a16:creationId xmlns:a16="http://schemas.microsoft.com/office/drawing/2014/main" id="{00000000-0008-0000-0F00-0000AD000000}"/>
                </a:ext>
              </a:extLst>
            </xdr:cNvPr>
            <xdr:cNvPicPr>
              <a:picLocks noChangeAspect="1"/>
              <a:extLst>
                <a:ext uri="{84589F7E-364E-4C9E-8A38-B11213B215E9}">
                  <a14:cameraTool cellRange="Picture" spid="_x0000_s14584"/>
                </a:ext>
              </a:extLst>
            </xdr:cNvPicPr>
          </xdr:nvPicPr>
          <xdr:blipFill>
            <a:blip xmlns:r="http://schemas.openxmlformats.org/officeDocument/2006/relationships" r:embed="rId9"/>
            <a:stretch>
              <a:fillRect/>
            </a:stretch>
          </xdr:blipFill>
          <xdr:spPr>
            <a:xfrm>
              <a:off x="6102359" y="3829050"/>
              <a:ext cx="164592" cy="164654"/>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35</xdr:row>
          <xdr:rowOff>0</xdr:rowOff>
        </xdr:from>
        <xdr:to>
          <xdr:col>4</xdr:col>
          <xdr:colOff>323351</xdr:colOff>
          <xdr:row>36</xdr:row>
          <xdr:rowOff>12254</xdr:rowOff>
        </xdr:to>
        <xdr:pic>
          <xdr:nvPicPr>
            <xdr:cNvPr id="174" name="Picture 173">
              <a:hlinkClick xmlns:r="http://schemas.openxmlformats.org/officeDocument/2006/relationships" r:id="rId112" tooltip="Go to monthly input"/>
              <a:extLst>
                <a:ext uri="{FF2B5EF4-FFF2-40B4-BE49-F238E27FC236}">
                  <a16:creationId xmlns:a16="http://schemas.microsoft.com/office/drawing/2014/main" id="{00000000-0008-0000-0F00-0000AE000000}"/>
                </a:ext>
              </a:extLst>
            </xdr:cNvPr>
            <xdr:cNvPicPr>
              <a:picLocks noChangeAspect="1"/>
              <a:extLst>
                <a:ext uri="{84589F7E-364E-4C9E-8A38-B11213B215E9}">
                  <a14:cameraTool cellRange="Picture" spid="_x0000_s14585"/>
                </a:ext>
              </a:extLst>
            </xdr:cNvPicPr>
          </xdr:nvPicPr>
          <xdr:blipFill>
            <a:blip xmlns:r="http://schemas.openxmlformats.org/officeDocument/2006/relationships" r:embed="rId9"/>
            <a:stretch>
              <a:fillRect/>
            </a:stretch>
          </xdr:blipFill>
          <xdr:spPr>
            <a:xfrm>
              <a:off x="6102359" y="3990975"/>
              <a:ext cx="164592" cy="164654"/>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38</xdr:row>
          <xdr:rowOff>0</xdr:rowOff>
        </xdr:from>
        <xdr:to>
          <xdr:col>4</xdr:col>
          <xdr:colOff>323351</xdr:colOff>
          <xdr:row>39</xdr:row>
          <xdr:rowOff>12254</xdr:rowOff>
        </xdr:to>
        <xdr:pic>
          <xdr:nvPicPr>
            <xdr:cNvPr id="175" name="Picture 174">
              <a:hlinkClick xmlns:r="http://schemas.openxmlformats.org/officeDocument/2006/relationships" r:id="rId113" tooltip="Go to monthly input"/>
              <a:extLst>
                <a:ext uri="{FF2B5EF4-FFF2-40B4-BE49-F238E27FC236}">
                  <a16:creationId xmlns:a16="http://schemas.microsoft.com/office/drawing/2014/main" id="{00000000-0008-0000-0F00-0000AF000000}"/>
                </a:ext>
              </a:extLst>
            </xdr:cNvPr>
            <xdr:cNvPicPr>
              <a:picLocks noChangeAspect="1"/>
              <a:extLst>
                <a:ext uri="{84589F7E-364E-4C9E-8A38-B11213B215E9}">
                  <a14:cameraTool cellRange="Picture" spid="_x0000_s14586"/>
                </a:ext>
              </a:extLst>
            </xdr:cNvPicPr>
          </xdr:nvPicPr>
          <xdr:blipFill>
            <a:blip xmlns:r="http://schemas.openxmlformats.org/officeDocument/2006/relationships" r:embed="rId9"/>
            <a:stretch>
              <a:fillRect/>
            </a:stretch>
          </xdr:blipFill>
          <xdr:spPr>
            <a:xfrm>
              <a:off x="6102359" y="4476750"/>
              <a:ext cx="164592" cy="164654"/>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39</xdr:row>
          <xdr:rowOff>0</xdr:rowOff>
        </xdr:from>
        <xdr:to>
          <xdr:col>4</xdr:col>
          <xdr:colOff>323351</xdr:colOff>
          <xdr:row>40</xdr:row>
          <xdr:rowOff>12254</xdr:rowOff>
        </xdr:to>
        <xdr:pic>
          <xdr:nvPicPr>
            <xdr:cNvPr id="176" name="Picture 175">
              <a:hlinkClick xmlns:r="http://schemas.openxmlformats.org/officeDocument/2006/relationships" r:id="rId114" tooltip="Go to monthly input"/>
              <a:extLst>
                <a:ext uri="{FF2B5EF4-FFF2-40B4-BE49-F238E27FC236}">
                  <a16:creationId xmlns:a16="http://schemas.microsoft.com/office/drawing/2014/main" id="{00000000-0008-0000-0F00-0000B0000000}"/>
                </a:ext>
              </a:extLst>
            </xdr:cNvPr>
            <xdr:cNvPicPr>
              <a:picLocks noChangeAspect="1"/>
              <a:extLst>
                <a:ext uri="{84589F7E-364E-4C9E-8A38-B11213B215E9}">
                  <a14:cameraTool cellRange="Picture" spid="_x0000_s14587"/>
                </a:ext>
              </a:extLst>
            </xdr:cNvPicPr>
          </xdr:nvPicPr>
          <xdr:blipFill>
            <a:blip xmlns:r="http://schemas.openxmlformats.org/officeDocument/2006/relationships" r:embed="rId9"/>
            <a:stretch>
              <a:fillRect/>
            </a:stretch>
          </xdr:blipFill>
          <xdr:spPr>
            <a:xfrm>
              <a:off x="6102359" y="4638675"/>
              <a:ext cx="164592" cy="164654"/>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40</xdr:row>
          <xdr:rowOff>0</xdr:rowOff>
        </xdr:from>
        <xdr:to>
          <xdr:col>4</xdr:col>
          <xdr:colOff>323351</xdr:colOff>
          <xdr:row>41</xdr:row>
          <xdr:rowOff>12254</xdr:rowOff>
        </xdr:to>
        <xdr:pic>
          <xdr:nvPicPr>
            <xdr:cNvPr id="177" name="Picture 176">
              <a:hlinkClick xmlns:r="http://schemas.openxmlformats.org/officeDocument/2006/relationships" r:id="rId115" tooltip="Go to monthly input"/>
              <a:extLst>
                <a:ext uri="{FF2B5EF4-FFF2-40B4-BE49-F238E27FC236}">
                  <a16:creationId xmlns:a16="http://schemas.microsoft.com/office/drawing/2014/main" id="{00000000-0008-0000-0F00-0000B1000000}"/>
                </a:ext>
              </a:extLst>
            </xdr:cNvPr>
            <xdr:cNvPicPr>
              <a:picLocks noChangeAspect="1"/>
              <a:extLst>
                <a:ext uri="{84589F7E-364E-4C9E-8A38-B11213B215E9}">
                  <a14:cameraTool cellRange="Picture" spid="_x0000_s14588"/>
                </a:ext>
              </a:extLst>
            </xdr:cNvPicPr>
          </xdr:nvPicPr>
          <xdr:blipFill>
            <a:blip xmlns:r="http://schemas.openxmlformats.org/officeDocument/2006/relationships" r:embed="rId9"/>
            <a:stretch>
              <a:fillRect/>
            </a:stretch>
          </xdr:blipFill>
          <xdr:spPr>
            <a:xfrm>
              <a:off x="6102359" y="4800600"/>
              <a:ext cx="164592" cy="164654"/>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41</xdr:row>
          <xdr:rowOff>0</xdr:rowOff>
        </xdr:from>
        <xdr:to>
          <xdr:col>4</xdr:col>
          <xdr:colOff>323351</xdr:colOff>
          <xdr:row>42</xdr:row>
          <xdr:rowOff>12254</xdr:rowOff>
        </xdr:to>
        <xdr:pic>
          <xdr:nvPicPr>
            <xdr:cNvPr id="178" name="Picture 177">
              <a:hlinkClick xmlns:r="http://schemas.openxmlformats.org/officeDocument/2006/relationships" r:id="rId116" tooltip="Go to monthly input"/>
              <a:extLst>
                <a:ext uri="{FF2B5EF4-FFF2-40B4-BE49-F238E27FC236}">
                  <a16:creationId xmlns:a16="http://schemas.microsoft.com/office/drawing/2014/main" id="{00000000-0008-0000-0F00-0000B2000000}"/>
                </a:ext>
              </a:extLst>
            </xdr:cNvPr>
            <xdr:cNvPicPr>
              <a:picLocks noChangeAspect="1"/>
              <a:extLst>
                <a:ext uri="{84589F7E-364E-4C9E-8A38-B11213B215E9}">
                  <a14:cameraTool cellRange="Picture" spid="_x0000_s14589"/>
                </a:ext>
              </a:extLst>
            </xdr:cNvPicPr>
          </xdr:nvPicPr>
          <xdr:blipFill>
            <a:blip xmlns:r="http://schemas.openxmlformats.org/officeDocument/2006/relationships" r:embed="rId9"/>
            <a:stretch>
              <a:fillRect/>
            </a:stretch>
          </xdr:blipFill>
          <xdr:spPr>
            <a:xfrm>
              <a:off x="6102359" y="4962525"/>
              <a:ext cx="164592" cy="164654"/>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42</xdr:row>
          <xdr:rowOff>0</xdr:rowOff>
        </xdr:from>
        <xdr:to>
          <xdr:col>4</xdr:col>
          <xdr:colOff>323351</xdr:colOff>
          <xdr:row>43</xdr:row>
          <xdr:rowOff>12254</xdr:rowOff>
        </xdr:to>
        <xdr:pic>
          <xdr:nvPicPr>
            <xdr:cNvPr id="179" name="Picture 178">
              <a:hlinkClick xmlns:r="http://schemas.openxmlformats.org/officeDocument/2006/relationships" r:id="rId117" tooltip="Go to monthly input"/>
              <a:extLst>
                <a:ext uri="{FF2B5EF4-FFF2-40B4-BE49-F238E27FC236}">
                  <a16:creationId xmlns:a16="http://schemas.microsoft.com/office/drawing/2014/main" id="{00000000-0008-0000-0F00-0000B3000000}"/>
                </a:ext>
              </a:extLst>
            </xdr:cNvPr>
            <xdr:cNvPicPr>
              <a:picLocks noChangeAspect="1"/>
              <a:extLst>
                <a:ext uri="{84589F7E-364E-4C9E-8A38-B11213B215E9}">
                  <a14:cameraTool cellRange="Picture" spid="_x0000_s14590"/>
                </a:ext>
              </a:extLst>
            </xdr:cNvPicPr>
          </xdr:nvPicPr>
          <xdr:blipFill>
            <a:blip xmlns:r="http://schemas.openxmlformats.org/officeDocument/2006/relationships" r:embed="rId9"/>
            <a:stretch>
              <a:fillRect/>
            </a:stretch>
          </xdr:blipFill>
          <xdr:spPr>
            <a:xfrm>
              <a:off x="6102359" y="5124450"/>
              <a:ext cx="164592" cy="164654"/>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43</xdr:row>
          <xdr:rowOff>0</xdr:rowOff>
        </xdr:from>
        <xdr:to>
          <xdr:col>4</xdr:col>
          <xdr:colOff>323351</xdr:colOff>
          <xdr:row>44</xdr:row>
          <xdr:rowOff>12254</xdr:rowOff>
        </xdr:to>
        <xdr:pic>
          <xdr:nvPicPr>
            <xdr:cNvPr id="180" name="Picture 179">
              <a:hlinkClick xmlns:r="http://schemas.openxmlformats.org/officeDocument/2006/relationships" r:id="rId118" tooltip="Go to monthly input"/>
              <a:extLst>
                <a:ext uri="{FF2B5EF4-FFF2-40B4-BE49-F238E27FC236}">
                  <a16:creationId xmlns:a16="http://schemas.microsoft.com/office/drawing/2014/main" id="{00000000-0008-0000-0F00-0000B4000000}"/>
                </a:ext>
              </a:extLst>
            </xdr:cNvPr>
            <xdr:cNvPicPr>
              <a:picLocks noChangeAspect="1"/>
              <a:extLst>
                <a:ext uri="{84589F7E-364E-4C9E-8A38-B11213B215E9}">
                  <a14:cameraTool cellRange="Picture" spid="_x0000_s14591"/>
                </a:ext>
              </a:extLst>
            </xdr:cNvPicPr>
          </xdr:nvPicPr>
          <xdr:blipFill>
            <a:blip xmlns:r="http://schemas.openxmlformats.org/officeDocument/2006/relationships" r:embed="rId9"/>
            <a:stretch>
              <a:fillRect/>
            </a:stretch>
          </xdr:blipFill>
          <xdr:spPr>
            <a:xfrm>
              <a:off x="6102359" y="5286375"/>
              <a:ext cx="164592" cy="164654"/>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44</xdr:row>
          <xdr:rowOff>0</xdr:rowOff>
        </xdr:from>
        <xdr:to>
          <xdr:col>4</xdr:col>
          <xdr:colOff>323351</xdr:colOff>
          <xdr:row>45</xdr:row>
          <xdr:rowOff>12254</xdr:rowOff>
        </xdr:to>
        <xdr:pic>
          <xdr:nvPicPr>
            <xdr:cNvPr id="181" name="Picture 180">
              <a:hlinkClick xmlns:r="http://schemas.openxmlformats.org/officeDocument/2006/relationships" r:id="rId119" tooltip="Go to monthly input"/>
              <a:extLst>
                <a:ext uri="{FF2B5EF4-FFF2-40B4-BE49-F238E27FC236}">
                  <a16:creationId xmlns:a16="http://schemas.microsoft.com/office/drawing/2014/main" id="{00000000-0008-0000-0F00-0000B5000000}"/>
                </a:ext>
              </a:extLst>
            </xdr:cNvPr>
            <xdr:cNvPicPr>
              <a:picLocks noChangeAspect="1"/>
              <a:extLst>
                <a:ext uri="{84589F7E-364E-4C9E-8A38-B11213B215E9}">
                  <a14:cameraTool cellRange="Picture" spid="_x0000_s14592"/>
                </a:ext>
              </a:extLst>
            </xdr:cNvPicPr>
          </xdr:nvPicPr>
          <xdr:blipFill>
            <a:blip xmlns:r="http://schemas.openxmlformats.org/officeDocument/2006/relationships" r:embed="rId9"/>
            <a:stretch>
              <a:fillRect/>
            </a:stretch>
          </xdr:blipFill>
          <xdr:spPr>
            <a:xfrm>
              <a:off x="6102359" y="5448300"/>
              <a:ext cx="164592" cy="164654"/>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45</xdr:row>
          <xdr:rowOff>0</xdr:rowOff>
        </xdr:from>
        <xdr:to>
          <xdr:col>4</xdr:col>
          <xdr:colOff>323351</xdr:colOff>
          <xdr:row>46</xdr:row>
          <xdr:rowOff>12254</xdr:rowOff>
        </xdr:to>
        <xdr:pic>
          <xdr:nvPicPr>
            <xdr:cNvPr id="182" name="Picture 181">
              <a:hlinkClick xmlns:r="http://schemas.openxmlformats.org/officeDocument/2006/relationships" r:id="rId120" tooltip="Go to monthly input"/>
              <a:extLst>
                <a:ext uri="{FF2B5EF4-FFF2-40B4-BE49-F238E27FC236}">
                  <a16:creationId xmlns:a16="http://schemas.microsoft.com/office/drawing/2014/main" id="{00000000-0008-0000-0F00-0000B6000000}"/>
                </a:ext>
              </a:extLst>
            </xdr:cNvPr>
            <xdr:cNvPicPr>
              <a:picLocks noChangeAspect="1"/>
              <a:extLst>
                <a:ext uri="{84589F7E-364E-4C9E-8A38-B11213B215E9}">
                  <a14:cameraTool cellRange="Picture" spid="_x0000_s14593"/>
                </a:ext>
              </a:extLst>
            </xdr:cNvPicPr>
          </xdr:nvPicPr>
          <xdr:blipFill>
            <a:blip xmlns:r="http://schemas.openxmlformats.org/officeDocument/2006/relationships" r:embed="rId9"/>
            <a:stretch>
              <a:fillRect/>
            </a:stretch>
          </xdr:blipFill>
          <xdr:spPr>
            <a:xfrm>
              <a:off x="6102359" y="5610225"/>
              <a:ext cx="164592" cy="164654"/>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47</xdr:row>
          <xdr:rowOff>0</xdr:rowOff>
        </xdr:from>
        <xdr:to>
          <xdr:col>4</xdr:col>
          <xdr:colOff>323351</xdr:colOff>
          <xdr:row>48</xdr:row>
          <xdr:rowOff>12254</xdr:rowOff>
        </xdr:to>
        <xdr:pic>
          <xdr:nvPicPr>
            <xdr:cNvPr id="183" name="Picture 182">
              <a:hlinkClick xmlns:r="http://schemas.openxmlformats.org/officeDocument/2006/relationships" r:id="rId121" tooltip="Go to monthly input"/>
              <a:extLst>
                <a:ext uri="{FF2B5EF4-FFF2-40B4-BE49-F238E27FC236}">
                  <a16:creationId xmlns:a16="http://schemas.microsoft.com/office/drawing/2014/main" id="{00000000-0008-0000-0F00-0000B7000000}"/>
                </a:ext>
              </a:extLst>
            </xdr:cNvPr>
            <xdr:cNvPicPr>
              <a:picLocks noChangeAspect="1"/>
              <a:extLst>
                <a:ext uri="{84589F7E-364E-4C9E-8A38-B11213B215E9}">
                  <a14:cameraTool cellRange="Picture" spid="_x0000_s14594"/>
                </a:ext>
              </a:extLst>
            </xdr:cNvPicPr>
          </xdr:nvPicPr>
          <xdr:blipFill>
            <a:blip xmlns:r="http://schemas.openxmlformats.org/officeDocument/2006/relationships" r:embed="rId9"/>
            <a:stretch>
              <a:fillRect/>
            </a:stretch>
          </xdr:blipFill>
          <xdr:spPr>
            <a:xfrm>
              <a:off x="6102359" y="5934075"/>
              <a:ext cx="164592" cy="164654"/>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48</xdr:row>
          <xdr:rowOff>0</xdr:rowOff>
        </xdr:from>
        <xdr:to>
          <xdr:col>4</xdr:col>
          <xdr:colOff>323351</xdr:colOff>
          <xdr:row>49</xdr:row>
          <xdr:rowOff>12254</xdr:rowOff>
        </xdr:to>
        <xdr:pic>
          <xdr:nvPicPr>
            <xdr:cNvPr id="184" name="Picture 183">
              <a:hlinkClick xmlns:r="http://schemas.openxmlformats.org/officeDocument/2006/relationships" r:id="rId122" tooltip="Go to monthly input"/>
              <a:extLst>
                <a:ext uri="{FF2B5EF4-FFF2-40B4-BE49-F238E27FC236}">
                  <a16:creationId xmlns:a16="http://schemas.microsoft.com/office/drawing/2014/main" id="{00000000-0008-0000-0F00-0000B8000000}"/>
                </a:ext>
              </a:extLst>
            </xdr:cNvPr>
            <xdr:cNvPicPr>
              <a:picLocks noChangeAspect="1"/>
              <a:extLst>
                <a:ext uri="{84589F7E-364E-4C9E-8A38-B11213B215E9}">
                  <a14:cameraTool cellRange="Picture" spid="_x0000_s14595"/>
                </a:ext>
              </a:extLst>
            </xdr:cNvPicPr>
          </xdr:nvPicPr>
          <xdr:blipFill>
            <a:blip xmlns:r="http://schemas.openxmlformats.org/officeDocument/2006/relationships" r:embed="rId9"/>
            <a:stretch>
              <a:fillRect/>
            </a:stretch>
          </xdr:blipFill>
          <xdr:spPr>
            <a:xfrm>
              <a:off x="6102359" y="6096000"/>
              <a:ext cx="164592" cy="164654"/>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49</xdr:row>
          <xdr:rowOff>0</xdr:rowOff>
        </xdr:from>
        <xdr:to>
          <xdr:col>4</xdr:col>
          <xdr:colOff>323351</xdr:colOff>
          <xdr:row>50</xdr:row>
          <xdr:rowOff>12254</xdr:rowOff>
        </xdr:to>
        <xdr:pic>
          <xdr:nvPicPr>
            <xdr:cNvPr id="185" name="Picture 184">
              <a:hlinkClick xmlns:r="http://schemas.openxmlformats.org/officeDocument/2006/relationships" r:id="rId123" tooltip="Go to monthly input"/>
              <a:extLst>
                <a:ext uri="{FF2B5EF4-FFF2-40B4-BE49-F238E27FC236}">
                  <a16:creationId xmlns:a16="http://schemas.microsoft.com/office/drawing/2014/main" id="{00000000-0008-0000-0F00-0000B9000000}"/>
                </a:ext>
              </a:extLst>
            </xdr:cNvPr>
            <xdr:cNvPicPr>
              <a:picLocks noChangeAspect="1"/>
              <a:extLst>
                <a:ext uri="{84589F7E-364E-4C9E-8A38-B11213B215E9}">
                  <a14:cameraTool cellRange="Picture" spid="_x0000_s14596"/>
                </a:ext>
              </a:extLst>
            </xdr:cNvPicPr>
          </xdr:nvPicPr>
          <xdr:blipFill>
            <a:blip xmlns:r="http://schemas.openxmlformats.org/officeDocument/2006/relationships" r:embed="rId9"/>
            <a:stretch>
              <a:fillRect/>
            </a:stretch>
          </xdr:blipFill>
          <xdr:spPr>
            <a:xfrm>
              <a:off x="6102359" y="6257925"/>
              <a:ext cx="164592" cy="164654"/>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50</xdr:row>
          <xdr:rowOff>0</xdr:rowOff>
        </xdr:from>
        <xdr:to>
          <xdr:col>4</xdr:col>
          <xdr:colOff>323351</xdr:colOff>
          <xdr:row>51</xdr:row>
          <xdr:rowOff>12254</xdr:rowOff>
        </xdr:to>
        <xdr:pic>
          <xdr:nvPicPr>
            <xdr:cNvPr id="186" name="Picture 185">
              <a:hlinkClick xmlns:r="http://schemas.openxmlformats.org/officeDocument/2006/relationships" r:id="rId124" tooltip="Go to monthly input"/>
              <a:extLst>
                <a:ext uri="{FF2B5EF4-FFF2-40B4-BE49-F238E27FC236}">
                  <a16:creationId xmlns:a16="http://schemas.microsoft.com/office/drawing/2014/main" id="{00000000-0008-0000-0F00-0000BA000000}"/>
                </a:ext>
              </a:extLst>
            </xdr:cNvPr>
            <xdr:cNvPicPr>
              <a:picLocks noChangeAspect="1"/>
              <a:extLst>
                <a:ext uri="{84589F7E-364E-4C9E-8A38-B11213B215E9}">
                  <a14:cameraTool cellRange="Picture" spid="_x0000_s14597"/>
                </a:ext>
              </a:extLst>
            </xdr:cNvPicPr>
          </xdr:nvPicPr>
          <xdr:blipFill>
            <a:blip xmlns:r="http://schemas.openxmlformats.org/officeDocument/2006/relationships" r:embed="rId9"/>
            <a:stretch>
              <a:fillRect/>
            </a:stretch>
          </xdr:blipFill>
          <xdr:spPr>
            <a:xfrm>
              <a:off x="6102359" y="6419850"/>
              <a:ext cx="164592" cy="164654"/>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50</xdr:row>
          <xdr:rowOff>0</xdr:rowOff>
        </xdr:from>
        <xdr:to>
          <xdr:col>4</xdr:col>
          <xdr:colOff>323351</xdr:colOff>
          <xdr:row>51</xdr:row>
          <xdr:rowOff>12254</xdr:rowOff>
        </xdr:to>
        <xdr:pic>
          <xdr:nvPicPr>
            <xdr:cNvPr id="187" name="Picture 186">
              <a:hlinkClick xmlns:r="http://schemas.openxmlformats.org/officeDocument/2006/relationships" r:id="rId125" tooltip="Go to monthly input"/>
              <a:extLst>
                <a:ext uri="{FF2B5EF4-FFF2-40B4-BE49-F238E27FC236}">
                  <a16:creationId xmlns:a16="http://schemas.microsoft.com/office/drawing/2014/main" id="{00000000-0008-0000-0F00-0000BB000000}"/>
                </a:ext>
              </a:extLst>
            </xdr:cNvPr>
            <xdr:cNvPicPr>
              <a:picLocks noChangeAspect="1"/>
              <a:extLst>
                <a:ext uri="{84589F7E-364E-4C9E-8A38-B11213B215E9}">
                  <a14:cameraTool cellRange="Picture" spid="_x0000_s14598"/>
                </a:ext>
              </a:extLst>
            </xdr:cNvPicPr>
          </xdr:nvPicPr>
          <xdr:blipFill>
            <a:blip xmlns:r="http://schemas.openxmlformats.org/officeDocument/2006/relationships" r:embed="rId9"/>
            <a:stretch>
              <a:fillRect/>
            </a:stretch>
          </xdr:blipFill>
          <xdr:spPr>
            <a:xfrm>
              <a:off x="6102359" y="6581775"/>
              <a:ext cx="164592" cy="164654"/>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55</xdr:row>
          <xdr:rowOff>0</xdr:rowOff>
        </xdr:from>
        <xdr:to>
          <xdr:col>4</xdr:col>
          <xdr:colOff>323351</xdr:colOff>
          <xdr:row>56</xdr:row>
          <xdr:rowOff>12254</xdr:rowOff>
        </xdr:to>
        <xdr:pic>
          <xdr:nvPicPr>
            <xdr:cNvPr id="188" name="Picture 187">
              <a:hlinkClick xmlns:r="http://schemas.openxmlformats.org/officeDocument/2006/relationships" r:id="rId126" tooltip="Go to monthly input"/>
              <a:extLst>
                <a:ext uri="{FF2B5EF4-FFF2-40B4-BE49-F238E27FC236}">
                  <a16:creationId xmlns:a16="http://schemas.microsoft.com/office/drawing/2014/main" id="{00000000-0008-0000-0F00-0000BC000000}"/>
                </a:ext>
              </a:extLst>
            </xdr:cNvPr>
            <xdr:cNvPicPr>
              <a:picLocks noChangeAspect="1"/>
              <a:extLst>
                <a:ext uri="{84589F7E-364E-4C9E-8A38-B11213B215E9}">
                  <a14:cameraTool cellRange="Picture" spid="_x0000_s14599"/>
                </a:ext>
              </a:extLst>
            </xdr:cNvPicPr>
          </xdr:nvPicPr>
          <xdr:blipFill>
            <a:blip xmlns:r="http://schemas.openxmlformats.org/officeDocument/2006/relationships" r:embed="rId9"/>
            <a:stretch>
              <a:fillRect/>
            </a:stretch>
          </xdr:blipFill>
          <xdr:spPr>
            <a:xfrm>
              <a:off x="6102359" y="7381875"/>
              <a:ext cx="164592" cy="164654"/>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56</xdr:row>
          <xdr:rowOff>0</xdr:rowOff>
        </xdr:from>
        <xdr:to>
          <xdr:col>4</xdr:col>
          <xdr:colOff>323351</xdr:colOff>
          <xdr:row>57</xdr:row>
          <xdr:rowOff>12254</xdr:rowOff>
        </xdr:to>
        <xdr:pic>
          <xdr:nvPicPr>
            <xdr:cNvPr id="189" name="Picture 188">
              <a:hlinkClick xmlns:r="http://schemas.openxmlformats.org/officeDocument/2006/relationships" r:id="rId127" tooltip="Go to monthly input"/>
              <a:extLst>
                <a:ext uri="{FF2B5EF4-FFF2-40B4-BE49-F238E27FC236}">
                  <a16:creationId xmlns:a16="http://schemas.microsoft.com/office/drawing/2014/main" id="{00000000-0008-0000-0F00-0000BD000000}"/>
                </a:ext>
              </a:extLst>
            </xdr:cNvPr>
            <xdr:cNvPicPr>
              <a:picLocks noChangeAspect="1"/>
              <a:extLst>
                <a:ext uri="{84589F7E-364E-4C9E-8A38-B11213B215E9}">
                  <a14:cameraTool cellRange="Picture" spid="_x0000_s14600"/>
                </a:ext>
              </a:extLst>
            </xdr:cNvPicPr>
          </xdr:nvPicPr>
          <xdr:blipFill>
            <a:blip xmlns:r="http://schemas.openxmlformats.org/officeDocument/2006/relationships" r:embed="rId9"/>
            <a:stretch>
              <a:fillRect/>
            </a:stretch>
          </xdr:blipFill>
          <xdr:spPr>
            <a:xfrm>
              <a:off x="6102359" y="7543800"/>
              <a:ext cx="164592" cy="164654"/>
            </a:xfrm>
            <a:prstGeom prst="rect">
              <a:avLst/>
            </a:prstGeom>
          </xdr:spPr>
        </xdr:pic>
        <xdr:clientData fPrintsWithSheet="0"/>
      </xdr:twoCellAnchor>
    </mc:Choice>
    <mc:Fallback/>
  </mc:AlternateContent>
  <xdr:twoCellAnchor editAs="oneCell">
    <xdr:from>
      <xdr:col>5</xdr:col>
      <xdr:colOff>43922</xdr:colOff>
      <xdr:row>33</xdr:row>
      <xdr:rowOff>100693</xdr:rowOff>
    </xdr:from>
    <xdr:to>
      <xdr:col>12</xdr:col>
      <xdr:colOff>608241</xdr:colOff>
      <xdr:row>72</xdr:row>
      <xdr:rowOff>126546</xdr:rowOff>
    </xdr:to>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8"/>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158759</xdr:colOff>
          <xdr:row>168</xdr:row>
          <xdr:rowOff>0</xdr:rowOff>
        </xdr:from>
        <xdr:to>
          <xdr:col>4</xdr:col>
          <xdr:colOff>323351</xdr:colOff>
          <xdr:row>169</xdr:row>
          <xdr:rowOff>10072</xdr:rowOff>
        </xdr:to>
        <xdr:pic>
          <xdr:nvPicPr>
            <xdr:cNvPr id="141" name="Picture 140">
              <a:hlinkClick xmlns:r="http://schemas.openxmlformats.org/officeDocument/2006/relationships" r:id="rId129" tooltip="Go to monthly input"/>
              <a:extLst>
                <a:ext uri="{FF2B5EF4-FFF2-40B4-BE49-F238E27FC236}">
                  <a16:creationId xmlns:a16="http://schemas.microsoft.com/office/drawing/2014/main" id="{00000000-0008-0000-0F00-00008D000000}"/>
                </a:ext>
              </a:extLst>
            </xdr:cNvPr>
            <xdr:cNvPicPr>
              <a:picLocks noChangeAspect="1"/>
              <a:extLst>
                <a:ext uri="{84589F7E-364E-4C9E-8A38-B11213B215E9}">
                  <a14:cameraTool cellRange="Picture" spid="_x0000_s14601"/>
                </a:ext>
              </a:extLst>
            </xdr:cNvPicPr>
          </xdr:nvPicPr>
          <xdr:blipFill>
            <a:blip xmlns:r="http://schemas.openxmlformats.org/officeDocument/2006/relationships" r:embed="rId9"/>
            <a:stretch>
              <a:fillRect/>
            </a:stretch>
          </xdr:blipFill>
          <xdr:spPr>
            <a:xfrm>
              <a:off x="6102359" y="18992850"/>
              <a:ext cx="164592" cy="171999"/>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94</xdr:row>
          <xdr:rowOff>0</xdr:rowOff>
        </xdr:from>
        <xdr:to>
          <xdr:col>4</xdr:col>
          <xdr:colOff>323351</xdr:colOff>
          <xdr:row>95</xdr:row>
          <xdr:rowOff>10073</xdr:rowOff>
        </xdr:to>
        <xdr:pic>
          <xdr:nvPicPr>
            <xdr:cNvPr id="142" name="Picture 141">
              <a:hlinkClick xmlns:r="http://schemas.openxmlformats.org/officeDocument/2006/relationships" r:id="rId130" tooltip="Go to monthly input"/>
              <a:extLst>
                <a:ext uri="{FF2B5EF4-FFF2-40B4-BE49-F238E27FC236}">
                  <a16:creationId xmlns:a16="http://schemas.microsoft.com/office/drawing/2014/main" id="{00000000-0008-0000-0F00-00008E000000}"/>
                </a:ext>
              </a:extLst>
            </xdr:cNvPr>
            <xdr:cNvPicPr>
              <a:picLocks noChangeAspect="1"/>
              <a:extLst>
                <a:ext uri="{84589F7E-364E-4C9E-8A38-B11213B215E9}">
                  <a14:cameraTool cellRange="Picture" spid="_x0000_s14602"/>
                </a:ext>
              </a:extLst>
            </xdr:cNvPicPr>
          </xdr:nvPicPr>
          <xdr:blipFill>
            <a:blip xmlns:r="http://schemas.openxmlformats.org/officeDocument/2006/relationships" r:embed="rId9"/>
            <a:stretch>
              <a:fillRect/>
            </a:stretch>
          </xdr:blipFill>
          <xdr:spPr>
            <a:xfrm>
              <a:off x="6102359" y="13982700"/>
              <a:ext cx="164592" cy="171999"/>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170</xdr:row>
          <xdr:rowOff>0</xdr:rowOff>
        </xdr:from>
        <xdr:to>
          <xdr:col>4</xdr:col>
          <xdr:colOff>323351</xdr:colOff>
          <xdr:row>171</xdr:row>
          <xdr:rowOff>2667</xdr:rowOff>
        </xdr:to>
        <xdr:pic>
          <xdr:nvPicPr>
            <xdr:cNvPr id="143" name="Picture 142">
              <a:hlinkClick xmlns:r="http://schemas.openxmlformats.org/officeDocument/2006/relationships" r:id="rId36" tooltip="Go to monthly input"/>
              <a:extLst>
                <a:ext uri="{FF2B5EF4-FFF2-40B4-BE49-F238E27FC236}">
                  <a16:creationId xmlns:a16="http://schemas.microsoft.com/office/drawing/2014/main" id="{00000000-0008-0000-0F00-00008F000000}"/>
                </a:ext>
              </a:extLst>
            </xdr:cNvPr>
            <xdr:cNvPicPr>
              <a:picLocks noChangeAspect="1"/>
              <a:extLst>
                <a:ext uri="{84589F7E-364E-4C9E-8A38-B11213B215E9}">
                  <a14:cameraTool cellRange="Picture" spid="_x0000_s14603"/>
                </a:ext>
              </a:extLst>
            </xdr:cNvPicPr>
          </xdr:nvPicPr>
          <xdr:blipFill>
            <a:blip xmlns:r="http://schemas.openxmlformats.org/officeDocument/2006/relationships" r:embed="rId9"/>
            <a:stretch>
              <a:fillRect/>
            </a:stretch>
          </xdr:blipFill>
          <xdr:spPr>
            <a:xfrm>
              <a:off x="6102359" y="1931670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169</xdr:row>
          <xdr:rowOff>0</xdr:rowOff>
        </xdr:from>
        <xdr:to>
          <xdr:col>4</xdr:col>
          <xdr:colOff>323351</xdr:colOff>
          <xdr:row>170</xdr:row>
          <xdr:rowOff>2668</xdr:rowOff>
        </xdr:to>
        <xdr:pic>
          <xdr:nvPicPr>
            <xdr:cNvPr id="146" name="Picture 145">
              <a:hlinkClick xmlns:r="http://schemas.openxmlformats.org/officeDocument/2006/relationships" r:id="rId21" tooltip="Go to monthly input"/>
              <a:extLst>
                <a:ext uri="{FF2B5EF4-FFF2-40B4-BE49-F238E27FC236}">
                  <a16:creationId xmlns:a16="http://schemas.microsoft.com/office/drawing/2014/main" id="{00000000-0008-0000-0F00-000092000000}"/>
                </a:ext>
              </a:extLst>
            </xdr:cNvPr>
            <xdr:cNvPicPr>
              <a:picLocks noChangeAspect="1"/>
              <a:extLst>
                <a:ext uri="{84589F7E-364E-4C9E-8A38-B11213B215E9}">
                  <a14:cameraTool cellRange="Picture" spid="_x0000_s14604"/>
                </a:ext>
              </a:extLst>
            </xdr:cNvPicPr>
          </xdr:nvPicPr>
          <xdr:blipFill>
            <a:blip xmlns:r="http://schemas.openxmlformats.org/officeDocument/2006/relationships" r:embed="rId9"/>
            <a:stretch>
              <a:fillRect/>
            </a:stretch>
          </xdr:blipFill>
          <xdr:spPr>
            <a:xfrm>
              <a:off x="6102359" y="19154775"/>
              <a:ext cx="164592" cy="164592"/>
            </a:xfrm>
            <a:prstGeom prst="rect">
              <a:avLst/>
            </a:prstGeom>
          </xdr:spPr>
        </xdr:pic>
        <xdr:clientData fPrintsWithSheet="0"/>
      </xdr:twoCellAnchor>
    </mc:Choice>
    <mc:Fallback/>
  </mc:AlternateContent>
  <xdr:twoCellAnchor>
    <xdr:from>
      <xdr:col>7</xdr:col>
      <xdr:colOff>33337</xdr:colOff>
      <xdr:row>0</xdr:row>
      <xdr:rowOff>14287</xdr:rowOff>
    </xdr:from>
    <xdr:to>
      <xdr:col>10</xdr:col>
      <xdr:colOff>123825</xdr:colOff>
      <xdr:row>8</xdr:row>
      <xdr:rowOff>84391</xdr:rowOff>
    </xdr:to>
    <xdr:sp macro="[0]!PrintBS_Final" textlink="">
      <xdr:nvSpPr>
        <xdr:cNvPr id="147" name="Rectangle 146">
          <a:hlinkClick xmlns:r="http://schemas.openxmlformats.org/officeDocument/2006/relationships" r:id="rId131" tooltip="Go to the Financial Scorecard"/>
          <a:extLst>
            <a:ext uri="{FF2B5EF4-FFF2-40B4-BE49-F238E27FC236}">
              <a16:creationId xmlns:a16="http://schemas.microsoft.com/office/drawing/2014/main" id="{00000000-0008-0000-0F00-000093000000}"/>
            </a:ext>
          </a:extLst>
        </xdr:cNvPr>
        <xdr:cNvSpPr/>
      </xdr:nvSpPr>
      <xdr:spPr>
        <a:xfrm>
          <a:off x="8167687" y="14287"/>
          <a:ext cx="2090738" cy="374904"/>
        </a:xfrm>
        <a:prstGeom prst="rect">
          <a:avLst/>
        </a:prstGeom>
        <a:solidFill>
          <a:schemeClr val="accent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ln>
                <a:noFill/>
              </a:ln>
            </a:rPr>
            <a:t>Go</a:t>
          </a:r>
          <a:r>
            <a:rPr lang="en-US" sz="1400" b="1" baseline="0">
              <a:ln>
                <a:noFill/>
              </a:ln>
            </a:rPr>
            <a:t> to Financial Scorecard</a:t>
          </a:r>
          <a:endParaRPr lang="en-US" sz="1400" b="1">
            <a:ln>
              <a:noFill/>
            </a:ln>
          </a:endParaRPr>
        </a:p>
      </xdr:txBody>
    </xdr:sp>
    <xdr:clientData/>
  </xdr:twoCellAnchor>
  <mc:AlternateContent xmlns:mc="http://schemas.openxmlformats.org/markup-compatibility/2006">
    <mc:Choice xmlns:a14="http://schemas.microsoft.com/office/drawing/2010/main" Requires="a14">
      <xdr:twoCellAnchor editAs="oneCell">
        <xdr:from>
          <xdr:col>4</xdr:col>
          <xdr:colOff>158759</xdr:colOff>
          <xdr:row>220</xdr:row>
          <xdr:rowOff>0</xdr:rowOff>
        </xdr:from>
        <xdr:to>
          <xdr:col>4</xdr:col>
          <xdr:colOff>323351</xdr:colOff>
          <xdr:row>221</xdr:row>
          <xdr:rowOff>2666</xdr:rowOff>
        </xdr:to>
        <xdr:pic>
          <xdr:nvPicPr>
            <xdr:cNvPr id="155" name="Picture 154">
              <a:hlinkClick xmlns:r="http://schemas.openxmlformats.org/officeDocument/2006/relationships" r:id="rId132" tooltip="Go to monthly input"/>
              <a:extLst>
                <a:ext uri="{FF2B5EF4-FFF2-40B4-BE49-F238E27FC236}">
                  <a16:creationId xmlns:a16="http://schemas.microsoft.com/office/drawing/2014/main" id="{00000000-0008-0000-0F00-00009B000000}"/>
                </a:ext>
              </a:extLst>
            </xdr:cNvPr>
            <xdr:cNvPicPr>
              <a:picLocks noChangeAspect="1"/>
              <a:extLst>
                <a:ext uri="{84589F7E-364E-4C9E-8A38-B11213B215E9}">
                  <a14:cameraTool cellRange="Picture" spid="_x0000_s14605"/>
                </a:ext>
              </a:extLst>
            </xdr:cNvPicPr>
          </xdr:nvPicPr>
          <xdr:blipFill>
            <a:blip xmlns:r="http://schemas.openxmlformats.org/officeDocument/2006/relationships" r:embed="rId9"/>
            <a:stretch>
              <a:fillRect/>
            </a:stretch>
          </xdr:blipFill>
          <xdr:spPr>
            <a:xfrm>
              <a:off x="6569907" y="26604148"/>
              <a:ext cx="164592" cy="162593"/>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222</xdr:row>
          <xdr:rowOff>0</xdr:rowOff>
        </xdr:from>
        <xdr:to>
          <xdr:col>4</xdr:col>
          <xdr:colOff>323351</xdr:colOff>
          <xdr:row>223</xdr:row>
          <xdr:rowOff>2667</xdr:rowOff>
        </xdr:to>
        <xdr:pic>
          <xdr:nvPicPr>
            <xdr:cNvPr id="156" name="Picture 155">
              <a:hlinkClick xmlns:r="http://schemas.openxmlformats.org/officeDocument/2006/relationships" r:id="rId133" tooltip="Go to monthly input"/>
              <a:extLst>
                <a:ext uri="{FF2B5EF4-FFF2-40B4-BE49-F238E27FC236}">
                  <a16:creationId xmlns:a16="http://schemas.microsoft.com/office/drawing/2014/main" id="{00000000-0008-0000-0F00-00009C000000}"/>
                </a:ext>
              </a:extLst>
            </xdr:cNvPr>
            <xdr:cNvPicPr>
              <a:picLocks noChangeAspect="1"/>
              <a:extLst>
                <a:ext uri="{84589F7E-364E-4C9E-8A38-B11213B215E9}">
                  <a14:cameraTool cellRange="Picture" spid="_x0000_s14606"/>
                </a:ext>
              </a:extLst>
            </xdr:cNvPicPr>
          </xdr:nvPicPr>
          <xdr:blipFill>
            <a:blip xmlns:r="http://schemas.openxmlformats.org/officeDocument/2006/relationships" r:embed="rId9"/>
            <a:stretch>
              <a:fillRect/>
            </a:stretch>
          </xdr:blipFill>
          <xdr:spPr>
            <a:xfrm>
              <a:off x="6572259" y="27076400"/>
              <a:ext cx="164592" cy="163533"/>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221</xdr:row>
          <xdr:rowOff>0</xdr:rowOff>
        </xdr:from>
        <xdr:to>
          <xdr:col>4</xdr:col>
          <xdr:colOff>323351</xdr:colOff>
          <xdr:row>222</xdr:row>
          <xdr:rowOff>2666</xdr:rowOff>
        </xdr:to>
        <xdr:pic>
          <xdr:nvPicPr>
            <xdr:cNvPr id="157" name="Picture 156">
              <a:hlinkClick xmlns:r="http://schemas.openxmlformats.org/officeDocument/2006/relationships" r:id="rId134" tooltip="Go to monthly input"/>
              <a:extLst>
                <a:ext uri="{FF2B5EF4-FFF2-40B4-BE49-F238E27FC236}">
                  <a16:creationId xmlns:a16="http://schemas.microsoft.com/office/drawing/2014/main" id="{00000000-0008-0000-0F00-00009D000000}"/>
                </a:ext>
              </a:extLst>
            </xdr:cNvPr>
            <xdr:cNvPicPr>
              <a:picLocks noChangeAspect="1"/>
              <a:extLst>
                <a:ext uri="{84589F7E-364E-4C9E-8A38-B11213B215E9}">
                  <a14:cameraTool cellRange="Picture" spid="_x0000_s14607"/>
                </a:ext>
              </a:extLst>
            </xdr:cNvPicPr>
          </xdr:nvPicPr>
          <xdr:blipFill>
            <a:blip xmlns:r="http://schemas.openxmlformats.org/officeDocument/2006/relationships" r:embed="rId9"/>
            <a:stretch>
              <a:fillRect/>
            </a:stretch>
          </xdr:blipFill>
          <xdr:spPr>
            <a:xfrm>
              <a:off x="6572259" y="26915533"/>
              <a:ext cx="164592" cy="163533"/>
            </a:xfrm>
            <a:prstGeom prst="rect">
              <a:avLst/>
            </a:prstGeom>
          </xdr:spPr>
        </xdr:pic>
        <xdr:clientData fPrintsWithSheet="0"/>
      </xdr:twoCellAnchor>
    </mc:Choice>
    <mc:Fallback/>
  </mc:AlternateContent>
  <xdr:twoCellAnchor editAs="oneCell">
    <xdr:from>
      <xdr:col>1</xdr:col>
      <xdr:colOff>57150</xdr:colOff>
      <xdr:row>136</xdr:row>
      <xdr:rowOff>38100</xdr:rowOff>
    </xdr:from>
    <xdr:to>
      <xdr:col>1</xdr:col>
      <xdr:colOff>507847</xdr:colOff>
      <xdr:row>138</xdr:row>
      <xdr:rowOff>152399</xdr:rowOff>
    </xdr:to>
    <xdr:pic>
      <xdr:nvPicPr>
        <xdr:cNvPr id="158" name="Picture 157">
          <a:extLst>
            <a:ext uri="{FF2B5EF4-FFF2-40B4-BE49-F238E27FC236}">
              <a16:creationId xmlns:a16="http://schemas.microsoft.com/office/drawing/2014/main" id="{00000000-0008-0000-0F00-00009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10191750"/>
          <a:ext cx="450697" cy="457200"/>
        </a:xfrm>
        <a:prstGeom prst="rect">
          <a:avLst/>
        </a:prstGeom>
      </xdr:spPr>
    </xdr:pic>
    <xdr:clientData/>
  </xdr:twoCellAnchor>
  <xdr:twoCellAnchor editAs="oneCell">
    <xdr:from>
      <xdr:col>1</xdr:col>
      <xdr:colOff>3565624</xdr:colOff>
      <xdr:row>15</xdr:row>
      <xdr:rowOff>0</xdr:rowOff>
    </xdr:from>
    <xdr:to>
      <xdr:col>1</xdr:col>
      <xdr:colOff>3748504</xdr:colOff>
      <xdr:row>15</xdr:row>
      <xdr:rowOff>182880</xdr:rowOff>
    </xdr:to>
    <xdr:pic>
      <xdr:nvPicPr>
        <xdr:cNvPr id="159" name="Picture 158">
          <a:hlinkClick xmlns:r="http://schemas.openxmlformats.org/officeDocument/2006/relationships" r:id="rId4" tooltip="Go back to General Info to change how you sell your product."/>
          <a:extLst>
            <a:ext uri="{FF2B5EF4-FFF2-40B4-BE49-F238E27FC236}">
              <a16:creationId xmlns:a16="http://schemas.microsoft.com/office/drawing/2014/main" id="{00000000-0008-0000-0F00-00009F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565624" y="808567"/>
          <a:ext cx="182880" cy="182880"/>
        </a:xfrm>
        <a:prstGeom prst="rect">
          <a:avLst/>
        </a:prstGeom>
      </xdr:spPr>
    </xdr:pic>
    <xdr:clientData fPrintsWithSheet="0"/>
  </xdr:twoCellAnchor>
  <xdr:twoCellAnchor>
    <xdr:from>
      <xdr:col>4</xdr:col>
      <xdr:colOff>275167</xdr:colOff>
      <xdr:row>0</xdr:row>
      <xdr:rowOff>14287</xdr:rowOff>
    </xdr:from>
    <xdr:to>
      <xdr:col>6</xdr:col>
      <xdr:colOff>629242</xdr:colOff>
      <xdr:row>8</xdr:row>
      <xdr:rowOff>84391</xdr:rowOff>
    </xdr:to>
    <xdr:sp macro="[0]!PrintBS_Final" textlink="">
      <xdr:nvSpPr>
        <xdr:cNvPr id="160" name="Rectangle 159">
          <a:hlinkClick xmlns:r="http://schemas.openxmlformats.org/officeDocument/2006/relationships" r:id="rId135" tooltip="Go to the Financial Scorecard"/>
          <a:extLst>
            <a:ext uri="{FF2B5EF4-FFF2-40B4-BE49-F238E27FC236}">
              <a16:creationId xmlns:a16="http://schemas.microsoft.com/office/drawing/2014/main" id="{00000000-0008-0000-0F00-0000A0000000}"/>
            </a:ext>
          </a:extLst>
        </xdr:cNvPr>
        <xdr:cNvSpPr/>
      </xdr:nvSpPr>
      <xdr:spPr>
        <a:xfrm>
          <a:off x="6688667" y="14287"/>
          <a:ext cx="2000842" cy="374904"/>
        </a:xfrm>
        <a:prstGeom prst="rect">
          <a:avLst/>
        </a:prstGeom>
        <a:solidFill>
          <a:schemeClr val="accent4"/>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baseline="0">
              <a:ln>
                <a:noFill/>
              </a:ln>
            </a:rPr>
            <a:t>Financial Dashboard</a:t>
          </a:r>
          <a:endParaRPr lang="en-US" sz="1400" b="1">
            <a:ln>
              <a:noFill/>
            </a:ln>
          </a:endParaRPr>
        </a:p>
      </xdr:txBody>
    </xdr:sp>
    <xdr:clientData/>
  </xdr:twoCellAnchor>
  <mc:AlternateContent xmlns:mc="http://schemas.openxmlformats.org/markup-compatibility/2006">
    <mc:Choice xmlns:a14="http://schemas.microsoft.com/office/drawing/2010/main" Requires="a14">
      <xdr:twoCellAnchor editAs="oneCell">
        <xdr:from>
          <xdr:col>3</xdr:col>
          <xdr:colOff>295275</xdr:colOff>
          <xdr:row>6</xdr:row>
          <xdr:rowOff>19050</xdr:rowOff>
        </xdr:from>
        <xdr:to>
          <xdr:col>4</xdr:col>
          <xdr:colOff>257175</xdr:colOff>
          <xdr:row>8</xdr:row>
          <xdr:rowOff>152400</xdr:rowOff>
        </xdr:to>
        <xdr:sp macro="" textlink="">
          <xdr:nvSpPr>
            <xdr:cNvPr id="14337" name="Drop Down 1" hidden="1">
              <a:extLst>
                <a:ext uri="{63B3BB69-23CF-44E3-9099-C40C66FF867C}">
                  <a14:compatExt spid="_x0000_s14337"/>
                </a:ext>
                <a:ext uri="{FF2B5EF4-FFF2-40B4-BE49-F238E27FC236}">
                  <a16:creationId xmlns:a16="http://schemas.microsoft.com/office/drawing/2014/main" id="{00000000-0008-0000-0F00-00000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68</xdr:row>
          <xdr:rowOff>0</xdr:rowOff>
        </xdr:from>
        <xdr:to>
          <xdr:col>4</xdr:col>
          <xdr:colOff>323351</xdr:colOff>
          <xdr:row>69</xdr:row>
          <xdr:rowOff>16428</xdr:rowOff>
        </xdr:to>
        <xdr:pic>
          <xdr:nvPicPr>
            <xdr:cNvPr id="161" name="Picture 160">
              <a:hlinkClick xmlns:r="http://schemas.openxmlformats.org/officeDocument/2006/relationships" r:id="rId136" tooltip="Go to monthly input"/>
              <a:extLst>
                <a:ext uri="{FF2B5EF4-FFF2-40B4-BE49-F238E27FC236}">
                  <a16:creationId xmlns:a16="http://schemas.microsoft.com/office/drawing/2014/main" id="{00000000-0008-0000-0F00-0000A1000000}"/>
                </a:ext>
              </a:extLst>
            </xdr:cNvPr>
            <xdr:cNvPicPr>
              <a:picLocks noChangeAspect="1"/>
              <a:extLst>
                <a:ext uri="{84589F7E-364E-4C9E-8A38-B11213B215E9}">
                  <a14:cameraTool cellRange="Picture" spid="_x0000_s14608"/>
                </a:ext>
              </a:extLst>
            </xdr:cNvPicPr>
          </xdr:nvPicPr>
          <xdr:blipFill>
            <a:blip xmlns:r="http://schemas.openxmlformats.org/officeDocument/2006/relationships" r:embed="rId9"/>
            <a:stretch>
              <a:fillRect/>
            </a:stretch>
          </xdr:blipFill>
          <xdr:spPr>
            <a:xfrm>
              <a:off x="6461588" y="8365671"/>
              <a:ext cx="164592" cy="168828"/>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69</xdr:row>
          <xdr:rowOff>0</xdr:rowOff>
        </xdr:from>
        <xdr:to>
          <xdr:col>4</xdr:col>
          <xdr:colOff>323351</xdr:colOff>
          <xdr:row>70</xdr:row>
          <xdr:rowOff>16428</xdr:rowOff>
        </xdr:to>
        <xdr:pic>
          <xdr:nvPicPr>
            <xdr:cNvPr id="165" name="Picture 164">
              <a:hlinkClick xmlns:r="http://schemas.openxmlformats.org/officeDocument/2006/relationships" r:id="rId137" tooltip="Go to monthly input"/>
              <a:extLst>
                <a:ext uri="{FF2B5EF4-FFF2-40B4-BE49-F238E27FC236}">
                  <a16:creationId xmlns:a16="http://schemas.microsoft.com/office/drawing/2014/main" id="{00000000-0008-0000-0F00-0000A5000000}"/>
                </a:ext>
              </a:extLst>
            </xdr:cNvPr>
            <xdr:cNvPicPr>
              <a:picLocks noChangeAspect="1"/>
              <a:extLst>
                <a:ext uri="{84589F7E-364E-4C9E-8A38-B11213B215E9}">
                  <a14:cameraTool cellRange="Picture" spid="_x0000_s14609"/>
                </a:ext>
              </a:extLst>
            </xdr:cNvPicPr>
          </xdr:nvPicPr>
          <xdr:blipFill>
            <a:blip xmlns:r="http://schemas.openxmlformats.org/officeDocument/2006/relationships" r:embed="rId9"/>
            <a:stretch>
              <a:fillRect/>
            </a:stretch>
          </xdr:blipFill>
          <xdr:spPr>
            <a:xfrm>
              <a:off x="6461588" y="8518071"/>
              <a:ext cx="164592" cy="168828"/>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oneCellAnchor>
        <xdr:from>
          <xdr:col>4</xdr:col>
          <xdr:colOff>158759</xdr:colOff>
          <xdr:row>66</xdr:row>
          <xdr:rowOff>0</xdr:rowOff>
        </xdr:from>
        <xdr:ext cx="164592" cy="169818"/>
        <xdr:pic>
          <xdr:nvPicPr>
            <xdr:cNvPr id="193" name="Picture 192">
              <a:hlinkClick xmlns:r="http://schemas.openxmlformats.org/officeDocument/2006/relationships" r:id="rId105" tooltip="Go to monthly input"/>
              <a:extLst>
                <a:ext uri="{FF2B5EF4-FFF2-40B4-BE49-F238E27FC236}">
                  <a16:creationId xmlns:a16="http://schemas.microsoft.com/office/drawing/2014/main" id="{00000000-0008-0000-0F00-0000C1000000}"/>
                </a:ext>
              </a:extLst>
            </xdr:cNvPr>
            <xdr:cNvPicPr>
              <a:picLocks noChangeAspect="1"/>
              <a:extLst>
                <a:ext uri="{84589F7E-364E-4C9E-8A38-B11213B215E9}">
                  <a14:cameraTool cellRange="Picture" spid="_x0000_s14610"/>
                </a:ext>
              </a:extLst>
            </xdr:cNvPicPr>
          </xdr:nvPicPr>
          <xdr:blipFill>
            <a:blip xmlns:r="http://schemas.openxmlformats.org/officeDocument/2006/relationships" r:embed="rId9"/>
            <a:stretch>
              <a:fillRect/>
            </a:stretch>
          </xdr:blipFill>
          <xdr:spPr>
            <a:xfrm>
              <a:off x="6457629" y="8273143"/>
              <a:ext cx="164592" cy="169818"/>
            </a:xfrm>
            <a:prstGeom prst="rect">
              <a:avLst/>
            </a:prstGeom>
          </xdr:spPr>
        </xdr:pic>
        <xdr:clientData fPrintsWithSheet="0"/>
      </xdr:oneCellAnchor>
    </mc:Choice>
    <mc:Fallback/>
  </mc:AlternateContent>
  <mc:AlternateContent xmlns:mc="http://schemas.openxmlformats.org/markup-compatibility/2006">
    <mc:Choice xmlns:a14="http://schemas.microsoft.com/office/drawing/2010/main" Requires="a14">
      <xdr:oneCellAnchor>
        <xdr:from>
          <xdr:col>4</xdr:col>
          <xdr:colOff>158759</xdr:colOff>
          <xdr:row>67</xdr:row>
          <xdr:rowOff>0</xdr:rowOff>
        </xdr:from>
        <xdr:ext cx="164592" cy="169818"/>
        <xdr:pic>
          <xdr:nvPicPr>
            <xdr:cNvPr id="194" name="Picture 193">
              <a:hlinkClick xmlns:r="http://schemas.openxmlformats.org/officeDocument/2006/relationships" r:id="rId105" tooltip="Go to monthly input"/>
              <a:extLst>
                <a:ext uri="{FF2B5EF4-FFF2-40B4-BE49-F238E27FC236}">
                  <a16:creationId xmlns:a16="http://schemas.microsoft.com/office/drawing/2014/main" id="{00000000-0008-0000-0F00-0000C2000000}"/>
                </a:ext>
              </a:extLst>
            </xdr:cNvPr>
            <xdr:cNvPicPr>
              <a:picLocks noChangeAspect="1"/>
              <a:extLst>
                <a:ext uri="{84589F7E-364E-4C9E-8A38-B11213B215E9}">
                  <a14:cameraTool cellRange="Picture" spid="_x0000_s14611"/>
                </a:ext>
              </a:extLst>
            </xdr:cNvPicPr>
          </xdr:nvPicPr>
          <xdr:blipFill>
            <a:blip xmlns:r="http://schemas.openxmlformats.org/officeDocument/2006/relationships" r:embed="rId9"/>
            <a:stretch>
              <a:fillRect/>
            </a:stretch>
          </xdr:blipFill>
          <xdr:spPr>
            <a:xfrm>
              <a:off x="6457629" y="8273143"/>
              <a:ext cx="164592" cy="169818"/>
            </a:xfrm>
            <a:prstGeom prst="rect">
              <a:avLst/>
            </a:prstGeom>
          </xdr:spPr>
        </xdr:pic>
        <xdr:clientData fPrintsWithSheet="0"/>
      </xdr:oneCellAnchor>
    </mc:Choice>
    <mc:Fallback/>
  </mc:AlternateContent>
  <mc:AlternateContent xmlns:mc="http://schemas.openxmlformats.org/markup-compatibility/2006">
    <mc:Choice xmlns:a14="http://schemas.microsoft.com/office/drawing/2010/main" Requires="a14">
      <xdr:oneCellAnchor>
        <xdr:from>
          <xdr:col>4</xdr:col>
          <xdr:colOff>158759</xdr:colOff>
          <xdr:row>68</xdr:row>
          <xdr:rowOff>0</xdr:rowOff>
        </xdr:from>
        <xdr:ext cx="164592" cy="169818"/>
        <xdr:pic>
          <xdr:nvPicPr>
            <xdr:cNvPr id="195" name="Picture 194">
              <a:hlinkClick xmlns:r="http://schemas.openxmlformats.org/officeDocument/2006/relationships" r:id="rId105" tooltip="Go to monthly input"/>
              <a:extLst>
                <a:ext uri="{FF2B5EF4-FFF2-40B4-BE49-F238E27FC236}">
                  <a16:creationId xmlns:a16="http://schemas.microsoft.com/office/drawing/2014/main" id="{00000000-0008-0000-0F00-0000C3000000}"/>
                </a:ext>
              </a:extLst>
            </xdr:cNvPr>
            <xdr:cNvPicPr>
              <a:picLocks noChangeAspect="1"/>
              <a:extLst>
                <a:ext uri="{84589F7E-364E-4C9E-8A38-B11213B215E9}">
                  <a14:cameraTool cellRange="Picture" spid="_x0000_s14612"/>
                </a:ext>
              </a:extLst>
            </xdr:cNvPicPr>
          </xdr:nvPicPr>
          <xdr:blipFill>
            <a:blip xmlns:r="http://schemas.openxmlformats.org/officeDocument/2006/relationships" r:embed="rId9"/>
            <a:stretch>
              <a:fillRect/>
            </a:stretch>
          </xdr:blipFill>
          <xdr:spPr>
            <a:xfrm>
              <a:off x="6457629" y="8273143"/>
              <a:ext cx="164592" cy="169818"/>
            </a:xfrm>
            <a:prstGeom prst="rect">
              <a:avLst/>
            </a:prstGeom>
          </xdr:spPr>
        </xdr:pic>
        <xdr:clientData fPrintsWithSheet="0"/>
      </xdr:one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193</xdr:row>
          <xdr:rowOff>0</xdr:rowOff>
        </xdr:from>
        <xdr:to>
          <xdr:col>4</xdr:col>
          <xdr:colOff>323351</xdr:colOff>
          <xdr:row>194</xdr:row>
          <xdr:rowOff>2668</xdr:rowOff>
        </xdr:to>
        <xdr:pic>
          <xdr:nvPicPr>
            <xdr:cNvPr id="190" name="Picture 189">
              <a:hlinkClick xmlns:r="http://schemas.openxmlformats.org/officeDocument/2006/relationships" r:id="rId138" tooltip="Go to monthly input"/>
              <a:extLst>
                <a:ext uri="{FF2B5EF4-FFF2-40B4-BE49-F238E27FC236}">
                  <a16:creationId xmlns:a16="http://schemas.microsoft.com/office/drawing/2014/main" id="{00000000-0008-0000-0F00-0000BE000000}"/>
                </a:ext>
              </a:extLst>
            </xdr:cNvPr>
            <xdr:cNvPicPr>
              <a:picLocks noChangeAspect="1"/>
              <a:extLst>
                <a:ext uri="{84589F7E-364E-4C9E-8A38-B11213B215E9}">
                  <a14:cameraTool cellRange="Picture" spid="_x0000_s14613"/>
                </a:ext>
              </a:extLst>
            </xdr:cNvPicPr>
          </xdr:nvPicPr>
          <xdr:blipFill>
            <a:blip xmlns:r="http://schemas.openxmlformats.org/officeDocument/2006/relationships" r:embed="rId9"/>
            <a:stretch>
              <a:fillRect/>
            </a:stretch>
          </xdr:blipFill>
          <xdr:spPr>
            <a:xfrm>
              <a:off x="6461588" y="23583900"/>
              <a:ext cx="164592" cy="160511"/>
            </a:xfrm>
            <a:prstGeom prst="rect">
              <a:avLst/>
            </a:prstGeom>
          </xdr:spPr>
        </xdr:pic>
        <xdr:clientData fPrintsWithSheet="0"/>
      </xdr:twoCellAnchor>
    </mc:Choice>
    <mc:Fallback/>
  </mc:AlternateContent>
  <xdr:twoCellAnchor editAs="oneCell">
    <xdr:from>
      <xdr:col>10</xdr:col>
      <xdr:colOff>180975</xdr:colOff>
      <xdr:row>0</xdr:row>
      <xdr:rowOff>14287</xdr:rowOff>
    </xdr:from>
    <xdr:to>
      <xdr:col>13</xdr:col>
      <xdr:colOff>274701</xdr:colOff>
      <xdr:row>8</xdr:row>
      <xdr:rowOff>84391</xdr:rowOff>
    </xdr:to>
    <xdr:sp macro="[0]!PrintBS_Final" textlink="">
      <xdr:nvSpPr>
        <xdr:cNvPr id="191" name="Rectangle 190">
          <a:hlinkClick xmlns:r="http://schemas.openxmlformats.org/officeDocument/2006/relationships" r:id="rId139" tooltip="Go to General Info"/>
          <a:extLst>
            <a:ext uri="{FF2B5EF4-FFF2-40B4-BE49-F238E27FC236}">
              <a16:creationId xmlns:a16="http://schemas.microsoft.com/office/drawing/2014/main" id="{00000000-0008-0000-0F00-0000BF000000}"/>
            </a:ext>
          </a:extLst>
        </xdr:cNvPr>
        <xdr:cNvSpPr/>
      </xdr:nvSpPr>
      <xdr:spPr>
        <a:xfrm>
          <a:off x="10315575" y="14287"/>
          <a:ext cx="2093976" cy="374904"/>
        </a:xfrm>
        <a:prstGeom prst="rect">
          <a:avLst/>
        </a:prstGeom>
        <a:solidFill>
          <a:srgbClr val="FF0000"/>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Go to Schedule F Analysis</a:t>
          </a:r>
        </a:p>
      </xdr:txBody>
    </xdr:sp>
    <xdr:clientData fPrintsWithSheet="0"/>
  </xdr:twoCellAnchor>
  <xdr:twoCellAnchor editAs="oneCell">
    <xdr:from>
      <xdr:col>13</xdr:col>
      <xdr:colOff>342900</xdr:colOff>
      <xdr:row>0</xdr:row>
      <xdr:rowOff>14287</xdr:rowOff>
    </xdr:from>
    <xdr:to>
      <xdr:col>16</xdr:col>
      <xdr:colOff>436626</xdr:colOff>
      <xdr:row>8</xdr:row>
      <xdr:rowOff>84391</xdr:rowOff>
    </xdr:to>
    <xdr:sp macro="[0]!PrintBS_Final" textlink="">
      <xdr:nvSpPr>
        <xdr:cNvPr id="192" name="Rectangle 191">
          <a:hlinkClick xmlns:r="http://schemas.openxmlformats.org/officeDocument/2006/relationships" r:id="rId140" tooltip="Go to Income Statement &amp; Cash Flow Plan"/>
          <a:extLst>
            <a:ext uri="{FF2B5EF4-FFF2-40B4-BE49-F238E27FC236}">
              <a16:creationId xmlns:a16="http://schemas.microsoft.com/office/drawing/2014/main" id="{00000000-0008-0000-0F00-0000C0000000}"/>
            </a:ext>
          </a:extLst>
        </xdr:cNvPr>
        <xdr:cNvSpPr/>
      </xdr:nvSpPr>
      <xdr:spPr>
        <a:xfrm>
          <a:off x="12477750" y="14287"/>
          <a:ext cx="2093976" cy="374904"/>
        </a:xfrm>
        <a:prstGeom prst="rect">
          <a:avLst/>
        </a:prstGeom>
        <a:solidFill>
          <a:srgbClr val="4A89DC"/>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Go</a:t>
          </a:r>
          <a:r>
            <a:rPr lang="en-US" sz="1400" b="1" baseline="0"/>
            <a:t> to </a:t>
          </a:r>
          <a:r>
            <a:rPr lang="en-US" sz="1400" b="1"/>
            <a:t>Cash Flow Plan</a:t>
          </a:r>
        </a:p>
      </xdr:txBody>
    </xdr:sp>
    <xdr:clientData fPrintsWithSheet="0"/>
  </xdr:twoCellAnchor>
  <xdr:oneCellAnchor>
    <xdr:from>
      <xdr:col>1</xdr:col>
      <xdr:colOff>57150</xdr:colOff>
      <xdr:row>159</xdr:row>
      <xdr:rowOff>38100</xdr:rowOff>
    </xdr:from>
    <xdr:ext cx="450697" cy="457199"/>
    <xdr:pic>
      <xdr:nvPicPr>
        <xdr:cNvPr id="196" name="Picture 195">
          <a:extLst>
            <a:ext uri="{FF2B5EF4-FFF2-40B4-BE49-F238E27FC236}">
              <a16:creationId xmlns:a16="http://schemas.microsoft.com/office/drawing/2014/main" id="{00000000-0008-0000-0F00-0000C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26012775"/>
          <a:ext cx="450697" cy="457199"/>
        </a:xfrm>
        <a:prstGeom prst="rect">
          <a:avLst/>
        </a:prstGeom>
      </xdr:spPr>
    </xdr:pic>
    <xdr:clientData/>
  </xdr:oneCellAnchor>
  <xdr:oneCellAnchor>
    <xdr:from>
      <xdr:col>1</xdr:col>
      <xdr:colOff>57150</xdr:colOff>
      <xdr:row>179</xdr:row>
      <xdr:rowOff>47625</xdr:rowOff>
    </xdr:from>
    <xdr:ext cx="450697" cy="457199"/>
    <xdr:pic>
      <xdr:nvPicPr>
        <xdr:cNvPr id="197" name="Picture 196">
          <a:extLst>
            <a:ext uri="{FF2B5EF4-FFF2-40B4-BE49-F238E27FC236}">
              <a16:creationId xmlns:a16="http://schemas.microsoft.com/office/drawing/2014/main" id="{00000000-0008-0000-0F00-0000C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29337000"/>
          <a:ext cx="450697" cy="457199"/>
        </a:xfrm>
        <a:prstGeom prst="rect">
          <a:avLst/>
        </a:prstGeom>
      </xdr:spPr>
    </xdr:pic>
    <xdr:clientData/>
  </xdr:oneCellAnchor>
</xdr:wsDr>
</file>

<file path=xl/drawings/drawing16.xml><?xml version="1.0" encoding="utf-8"?>
<c:userShapes xmlns:c="http://schemas.openxmlformats.org/drawingml/2006/chart">
  <cdr:relSizeAnchor xmlns:cdr="http://schemas.openxmlformats.org/drawingml/2006/chartDrawing">
    <cdr:from>
      <cdr:x>0.94896</cdr:x>
      <cdr:y>0.91073</cdr:y>
    </cdr:from>
    <cdr:to>
      <cdr:x>0.99651</cdr:x>
      <cdr:y>0.99195</cdr:y>
    </cdr:to>
    <cdr:pic>
      <cdr:nvPicPr>
        <cdr:cNvPr id="2" name="Picture 1">
          <a:extLst xmlns:a="http://schemas.openxmlformats.org/drawingml/2006/main">
            <a:ext uri="{FF2B5EF4-FFF2-40B4-BE49-F238E27FC236}">
              <a16:creationId xmlns:a16="http://schemas.microsoft.com/office/drawing/2014/main" id="{D2F2C862-4272-4EAF-84D7-60334A4DC67B}"/>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562827" y="2563319"/>
          <a:ext cx="228600" cy="228600"/>
        </a:xfrm>
        <a:prstGeom xmlns:a="http://schemas.openxmlformats.org/drawingml/2006/main" prst="rect">
          <a:avLst/>
        </a:prstGeom>
      </cdr:spPr>
    </cdr:pic>
  </cdr:relSizeAnchor>
</c:userShapes>
</file>

<file path=xl/drawings/drawing17.xml><?xml version="1.0" encoding="utf-8"?>
<c:userShapes xmlns:c="http://schemas.openxmlformats.org/drawingml/2006/chart">
  <cdr:relSizeAnchor xmlns:cdr="http://schemas.openxmlformats.org/drawingml/2006/chartDrawing">
    <cdr:from>
      <cdr:x>0.95065</cdr:x>
      <cdr:y>0.90728</cdr:y>
    </cdr:from>
    <cdr:to>
      <cdr:x>0.99782</cdr:x>
      <cdr:y>0.99217</cdr:y>
    </cdr:to>
    <cdr:pic>
      <cdr:nvPicPr>
        <cdr:cNvPr id="2" name="Picture 1">
          <a:extLst xmlns:a="http://schemas.openxmlformats.org/drawingml/2006/main">
            <a:ext uri="{FF2B5EF4-FFF2-40B4-BE49-F238E27FC236}">
              <a16:creationId xmlns:a16="http://schemas.microsoft.com/office/drawing/2014/main" id="{AC839707-ECAA-467A-9336-3031A516A64E}"/>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607136" y="2443275"/>
          <a:ext cx="228600" cy="228600"/>
        </a:xfrm>
        <a:prstGeom xmlns:a="http://schemas.openxmlformats.org/drawingml/2006/main" prst="rect">
          <a:avLst/>
        </a:prstGeom>
      </cdr:spPr>
    </cdr:pic>
  </cdr:relSizeAnchor>
</c:userShapes>
</file>

<file path=xl/drawings/drawing18.xml><?xml version="1.0" encoding="utf-8"?>
<c:userShapes xmlns:c="http://schemas.openxmlformats.org/drawingml/2006/chart">
  <cdr:relSizeAnchor xmlns:cdr="http://schemas.openxmlformats.org/drawingml/2006/chartDrawing">
    <cdr:from>
      <cdr:x>0.00655</cdr:x>
      <cdr:y>0.95125</cdr:y>
    </cdr:from>
    <cdr:to>
      <cdr:x>0.05372</cdr:x>
      <cdr:y>0.99868</cdr:y>
    </cdr:to>
    <cdr:pic>
      <cdr:nvPicPr>
        <cdr:cNvPr id="3" name="Picture 2">
          <a:extLst xmlns:a="http://schemas.openxmlformats.org/drawingml/2006/main">
            <a:ext uri="{FF2B5EF4-FFF2-40B4-BE49-F238E27FC236}">
              <a16:creationId xmlns:a16="http://schemas.microsoft.com/office/drawing/2014/main" id="{DC8E3083-58F9-4BAE-B607-78957770AA70}"/>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31743" y="4584681"/>
          <a:ext cx="228600" cy="228600"/>
        </a:xfrm>
        <a:prstGeom xmlns:a="http://schemas.openxmlformats.org/drawingml/2006/main" prst="rect">
          <a:avLst/>
        </a:prstGeom>
      </cdr:spPr>
    </cdr:pic>
  </cdr:relSizeAnchor>
</c:userShapes>
</file>

<file path=xl/drawings/drawing19.xml><?xml version="1.0" encoding="utf-8"?>
<c:userShapes xmlns:c="http://schemas.openxmlformats.org/drawingml/2006/chart">
  <cdr:relSizeAnchor xmlns:cdr="http://schemas.openxmlformats.org/drawingml/2006/chartDrawing">
    <cdr:from>
      <cdr:x>0.00592</cdr:x>
      <cdr:y>0.95152</cdr:y>
    </cdr:from>
    <cdr:to>
      <cdr:x>0.04853</cdr:x>
      <cdr:y>0.99273</cdr:y>
    </cdr:to>
    <cdr:pic>
      <cdr:nvPicPr>
        <cdr:cNvPr id="3" name="Picture 2">
          <a:extLst xmlns:a="http://schemas.openxmlformats.org/drawingml/2006/main">
            <a:ext uri="{FF2B5EF4-FFF2-40B4-BE49-F238E27FC236}">
              <a16:creationId xmlns:a16="http://schemas.microsoft.com/office/drawing/2014/main" id="{9DDCEA3C-B41F-497E-869B-2EE309E1683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31760" y="5278682"/>
          <a:ext cx="228600" cy="228600"/>
        </a:xfrm>
        <a:prstGeom xmlns:a="http://schemas.openxmlformats.org/drawingml/2006/main" prst="rect">
          <a:avLst/>
        </a:prstGeom>
      </cdr:spPr>
    </cdr:pic>
  </cdr:relSizeAnchor>
</c:userShapes>
</file>

<file path=xl/drawings/drawing2.xml><?xml version="1.0" encoding="utf-8"?>
<xdr:wsDr xmlns:xdr="http://schemas.openxmlformats.org/drawingml/2006/spreadsheetDrawing" xmlns:a="http://schemas.openxmlformats.org/drawingml/2006/main">
  <xdr:twoCellAnchor editAs="oneCell">
    <xdr:from>
      <xdr:col>3</xdr:col>
      <xdr:colOff>6829</xdr:colOff>
      <xdr:row>25</xdr:row>
      <xdr:rowOff>6651</xdr:rowOff>
    </xdr:from>
    <xdr:to>
      <xdr:col>3</xdr:col>
      <xdr:colOff>144483</xdr:colOff>
      <xdr:row>26</xdr:row>
      <xdr:rowOff>8234</xdr:rowOff>
    </xdr:to>
    <xdr:pic>
      <xdr:nvPicPr>
        <xdr:cNvPr id="2" name="MonthlyIco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41097" y="3898294"/>
          <a:ext cx="137654" cy="137654"/>
        </a:xfrm>
        <a:prstGeom prst="rect">
          <a:avLst/>
        </a:prstGeom>
      </xdr:spPr>
    </xdr:pic>
    <xdr:clientData/>
  </xdr:twoCellAnchor>
  <xdr:twoCellAnchor editAs="oneCell">
    <xdr:from>
      <xdr:col>3</xdr:col>
      <xdr:colOff>8693</xdr:colOff>
      <xdr:row>24</xdr:row>
      <xdr:rowOff>2902</xdr:rowOff>
    </xdr:from>
    <xdr:to>
      <xdr:col>3</xdr:col>
      <xdr:colOff>143346</xdr:colOff>
      <xdr:row>25</xdr:row>
      <xdr:rowOff>4485</xdr:rowOff>
    </xdr:to>
    <xdr:pic>
      <xdr:nvPicPr>
        <xdr:cNvPr id="3" name="AnnIcon">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36257" y="3707847"/>
          <a:ext cx="134653" cy="134653"/>
        </a:xfrm>
        <a:prstGeom prst="rect">
          <a:avLst/>
        </a:prstGeom>
      </xdr:spPr>
    </xdr:pic>
    <xdr:clientData/>
  </xdr:twoCellAnchor>
  <xdr:twoCellAnchor>
    <xdr:from>
      <xdr:col>24</xdr:col>
      <xdr:colOff>38100</xdr:colOff>
      <xdr:row>39</xdr:row>
      <xdr:rowOff>149225</xdr:rowOff>
    </xdr:from>
    <xdr:to>
      <xdr:col>48</xdr:col>
      <xdr:colOff>9525</xdr:colOff>
      <xdr:row>57</xdr:row>
      <xdr:rowOff>19051</xdr:rowOff>
    </xdr:to>
    <xdr:graphicFrame macro="">
      <xdr:nvGraphicFramePr>
        <xdr:cNvPr id="4" name="Chart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oneCell">
        <xdr:from>
          <xdr:col>10</xdr:col>
          <xdr:colOff>180975</xdr:colOff>
          <xdr:row>38</xdr:row>
          <xdr:rowOff>19050</xdr:rowOff>
        </xdr:from>
        <xdr:to>
          <xdr:col>11</xdr:col>
          <xdr:colOff>523875</xdr:colOff>
          <xdr:row>40</xdr:row>
          <xdr:rowOff>19050</xdr:rowOff>
        </xdr:to>
        <xdr:sp macro="" textlink="">
          <xdr:nvSpPr>
            <xdr:cNvPr id="229379" name="Drop Down 3" hidden="1">
              <a:extLst>
                <a:ext uri="{63B3BB69-23CF-44E3-9099-C40C66FF867C}">
                  <a14:compatExt spid="_x0000_s229379"/>
                </a:ext>
                <a:ext uri="{FF2B5EF4-FFF2-40B4-BE49-F238E27FC236}">
                  <a16:creationId xmlns:a16="http://schemas.microsoft.com/office/drawing/2014/main" id="{00000000-0008-0000-0100-00000380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7</xdr:row>
          <xdr:rowOff>9525</xdr:rowOff>
        </xdr:from>
        <xdr:to>
          <xdr:col>7</xdr:col>
          <xdr:colOff>714375</xdr:colOff>
          <xdr:row>7</xdr:row>
          <xdr:rowOff>333375</xdr:rowOff>
        </xdr:to>
        <xdr:sp macro="" textlink="">
          <xdr:nvSpPr>
            <xdr:cNvPr id="228353" name="Drop Down 1" hidden="1">
              <a:extLst>
                <a:ext uri="{63B3BB69-23CF-44E3-9099-C40C66FF867C}">
                  <a14:compatExt spid="_x0000_s228353"/>
                </a:ext>
                <a:ext uri="{FF2B5EF4-FFF2-40B4-BE49-F238E27FC236}">
                  <a16:creationId xmlns:a16="http://schemas.microsoft.com/office/drawing/2014/main" id="{00000000-0008-0000-1000-0000017C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editAs="oneCell">
    <xdr:from>
      <xdr:col>0</xdr:col>
      <xdr:colOff>105833</xdr:colOff>
      <xdr:row>1</xdr:row>
      <xdr:rowOff>55033</xdr:rowOff>
    </xdr:from>
    <xdr:to>
      <xdr:col>2</xdr:col>
      <xdr:colOff>26247</xdr:colOff>
      <xdr:row>1</xdr:row>
      <xdr:rowOff>237913</xdr:rowOff>
    </xdr:to>
    <xdr:pic>
      <xdr:nvPicPr>
        <xdr:cNvPr id="3" name="Picture 2">
          <a:hlinkClick xmlns:r="http://schemas.openxmlformats.org/officeDocument/2006/relationships" r:id="rId1" tooltip="Go back to General Info to change how you sell your product."/>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833" y="105833"/>
          <a:ext cx="182880" cy="182880"/>
        </a:xfrm>
        <a:prstGeom prst="rect">
          <a:avLst/>
        </a:prstGeom>
      </xdr:spPr>
    </xdr:pic>
    <xdr:clientData fPrintsWithSheet="0"/>
  </xdr:twoCellAnchor>
  <xdr:twoCellAnchor editAs="oneCell">
    <xdr:from>
      <xdr:col>5</xdr:col>
      <xdr:colOff>8467</xdr:colOff>
      <xdr:row>11</xdr:row>
      <xdr:rowOff>46566</xdr:rowOff>
    </xdr:from>
    <xdr:to>
      <xdr:col>9</xdr:col>
      <xdr:colOff>212</xdr:colOff>
      <xdr:row>13</xdr:row>
      <xdr:rowOff>98552</xdr:rowOff>
    </xdr:to>
    <xdr:graphicFrame macro="">
      <xdr:nvGraphicFramePr>
        <xdr:cNvPr id="4" name="Chart 3">
          <a:extLst>
            <a:ext uri="{FF2B5EF4-FFF2-40B4-BE49-F238E27FC236}">
              <a16:creationId xmlns:a16="http://schemas.microsoft.com/office/drawing/2014/main" id="{00000000-0008-0000-1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8467</xdr:colOff>
      <xdr:row>13</xdr:row>
      <xdr:rowOff>186268</xdr:rowOff>
    </xdr:from>
    <xdr:to>
      <xdr:col>8</xdr:col>
      <xdr:colOff>638387</xdr:colOff>
      <xdr:row>15</xdr:row>
      <xdr:rowOff>81620</xdr:rowOff>
    </xdr:to>
    <xdr:graphicFrame macro="">
      <xdr:nvGraphicFramePr>
        <xdr:cNvPr id="7" name="Chart 6">
          <a:extLst>
            <a:ext uri="{FF2B5EF4-FFF2-40B4-BE49-F238E27FC236}">
              <a16:creationId xmlns:a16="http://schemas.microsoft.com/office/drawing/2014/main" id="{00000000-0008-0000-1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825500</xdr:colOff>
      <xdr:row>3</xdr:row>
      <xdr:rowOff>88903</xdr:rowOff>
    </xdr:from>
    <xdr:to>
      <xdr:col>7</xdr:col>
      <xdr:colOff>618066</xdr:colOff>
      <xdr:row>6</xdr:row>
      <xdr:rowOff>95250</xdr:rowOff>
    </xdr:to>
    <xdr:sp macro="" textlink="">
      <xdr:nvSpPr>
        <xdr:cNvPr id="9" name="Rectangle 8">
          <a:hlinkClick xmlns:r="http://schemas.openxmlformats.org/officeDocument/2006/relationships" r:id="rId5"/>
          <a:extLst>
            <a:ext uri="{FF2B5EF4-FFF2-40B4-BE49-F238E27FC236}">
              <a16:creationId xmlns:a16="http://schemas.microsoft.com/office/drawing/2014/main" id="{00000000-0008-0000-1000-000009000000}"/>
            </a:ext>
          </a:extLst>
        </xdr:cNvPr>
        <xdr:cNvSpPr/>
      </xdr:nvSpPr>
      <xdr:spPr>
        <a:xfrm>
          <a:off x="1025525" y="593728"/>
          <a:ext cx="4021666" cy="596897"/>
        </a:xfrm>
        <a:prstGeom prst="rect">
          <a:avLst/>
        </a:prstGeom>
        <a:blipFill dpi="0" rotWithShape="1">
          <a:blip xmlns:r="http://schemas.openxmlformats.org/officeDocument/2006/relationships" r:embed="rId6"/>
          <a:srcRect/>
          <a:stretch>
            <a:fillRect/>
          </a:stretch>
        </a:blipFill>
        <a:ln w="19050">
          <a:solidFill>
            <a:srgbClr val="157C29"/>
          </a:solidFill>
        </a:ln>
      </xdr:spPr>
      <xdr:style>
        <a:lnRef idx="1">
          <a:schemeClr val="dk1"/>
        </a:lnRef>
        <a:fillRef idx="3">
          <a:schemeClr val="dk1"/>
        </a:fillRef>
        <a:effectRef idx="2">
          <a:schemeClr val="dk1"/>
        </a:effectRef>
        <a:fontRef idx="minor">
          <a:schemeClr val="lt1"/>
        </a:fontRef>
      </xdr:style>
      <xdr:txBody>
        <a:bodyPr vertOverflow="clip" horzOverflow="clip" rtlCol="0" anchor="ctr"/>
        <a:lstStyle/>
        <a:p>
          <a:pPr algn="ctr"/>
          <a:r>
            <a:rPr lang="en-US" sz="1400">
              <a:solidFill>
                <a:schemeClr val="tx1"/>
              </a:solidFill>
            </a:rPr>
            <a:t>Click here to go to the </a:t>
          </a:r>
          <a:r>
            <a:rPr lang="en-US" sz="1400" b="1">
              <a:solidFill>
                <a:srgbClr val="157C29"/>
              </a:solidFill>
              <a:latin typeface="Arial Black" panose="020B0A04020102020204" pitchFamily="34" charset="0"/>
            </a:rPr>
            <a:t>FINBIN</a:t>
          </a:r>
          <a:r>
            <a:rPr lang="en-US" sz="1400">
              <a:solidFill>
                <a:srgbClr val="157C29"/>
              </a:solidFill>
            </a:rPr>
            <a:t> </a:t>
          </a:r>
          <a:r>
            <a:rPr lang="en-US" sz="1400">
              <a:solidFill>
                <a:schemeClr val="tx1"/>
              </a:solidFill>
            </a:rPr>
            <a:t>Compare Your Farm tool to compare your information to other producers</a:t>
          </a:r>
        </a:p>
      </xdr:txBody>
    </xdr:sp>
    <xdr:clientData/>
  </xdr:twoCellAnchor>
  <xdr:twoCellAnchor>
    <xdr:from>
      <xdr:col>5</xdr:col>
      <xdr:colOff>8467</xdr:colOff>
      <xdr:row>16</xdr:row>
      <xdr:rowOff>63500</xdr:rowOff>
    </xdr:from>
    <xdr:to>
      <xdr:col>8</xdr:col>
      <xdr:colOff>638387</xdr:colOff>
      <xdr:row>18</xdr:row>
      <xdr:rowOff>42333</xdr:rowOff>
    </xdr:to>
    <xdr:graphicFrame macro="">
      <xdr:nvGraphicFramePr>
        <xdr:cNvPr id="8" name="Chart 7">
          <a:extLst>
            <a:ext uri="{FF2B5EF4-FFF2-40B4-BE49-F238E27FC236}">
              <a16:creationId xmlns:a16="http://schemas.microsoft.com/office/drawing/2014/main" id="{00000000-0008-0000-1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8467</xdr:colOff>
      <xdr:row>17</xdr:row>
      <xdr:rowOff>241301</xdr:rowOff>
    </xdr:from>
    <xdr:to>
      <xdr:col>8</xdr:col>
      <xdr:colOff>638387</xdr:colOff>
      <xdr:row>19</xdr:row>
      <xdr:rowOff>63501</xdr:rowOff>
    </xdr:to>
    <xdr:graphicFrame macro="">
      <xdr:nvGraphicFramePr>
        <xdr:cNvPr id="10" name="Chart 9">
          <a:extLst>
            <a:ext uri="{FF2B5EF4-FFF2-40B4-BE49-F238E27FC236}">
              <a16:creationId xmlns:a16="http://schemas.microsoft.com/office/drawing/2014/main" id="{00000000-0008-0000-1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8467</xdr:colOff>
      <xdr:row>18</xdr:row>
      <xdr:rowOff>228599</xdr:rowOff>
    </xdr:from>
    <xdr:to>
      <xdr:col>8</xdr:col>
      <xdr:colOff>638387</xdr:colOff>
      <xdr:row>20</xdr:row>
      <xdr:rowOff>50799</xdr:rowOff>
    </xdr:to>
    <xdr:graphicFrame macro="">
      <xdr:nvGraphicFramePr>
        <xdr:cNvPr id="11" name="Chart 10">
          <a:extLst>
            <a:ext uri="{FF2B5EF4-FFF2-40B4-BE49-F238E27FC236}">
              <a16:creationId xmlns:a16="http://schemas.microsoft.com/office/drawing/2014/main" id="{00000000-0008-0000-1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8467</xdr:colOff>
      <xdr:row>22</xdr:row>
      <xdr:rowOff>262466</xdr:rowOff>
    </xdr:from>
    <xdr:to>
      <xdr:col>8</xdr:col>
      <xdr:colOff>638387</xdr:colOff>
      <xdr:row>24</xdr:row>
      <xdr:rowOff>84666</xdr:rowOff>
    </xdr:to>
    <xdr:graphicFrame macro="">
      <xdr:nvGraphicFramePr>
        <xdr:cNvPr id="12" name="Chart 11">
          <a:extLst>
            <a:ext uri="{FF2B5EF4-FFF2-40B4-BE49-F238E27FC236}">
              <a16:creationId xmlns:a16="http://schemas.microsoft.com/office/drawing/2014/main" id="{00000000-0008-0000-1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8467</xdr:colOff>
      <xdr:row>23</xdr:row>
      <xdr:rowOff>258234</xdr:rowOff>
    </xdr:from>
    <xdr:to>
      <xdr:col>8</xdr:col>
      <xdr:colOff>638387</xdr:colOff>
      <xdr:row>25</xdr:row>
      <xdr:rowOff>80434</xdr:rowOff>
    </xdr:to>
    <xdr:graphicFrame macro="">
      <xdr:nvGraphicFramePr>
        <xdr:cNvPr id="13" name="Chart 12">
          <a:extLst>
            <a:ext uri="{FF2B5EF4-FFF2-40B4-BE49-F238E27FC236}">
              <a16:creationId xmlns:a16="http://schemas.microsoft.com/office/drawing/2014/main" id="{00000000-0008-0000-1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8467</xdr:colOff>
      <xdr:row>24</xdr:row>
      <xdr:rowOff>279400</xdr:rowOff>
    </xdr:from>
    <xdr:to>
      <xdr:col>8</xdr:col>
      <xdr:colOff>638387</xdr:colOff>
      <xdr:row>26</xdr:row>
      <xdr:rowOff>101600</xdr:rowOff>
    </xdr:to>
    <xdr:graphicFrame macro="">
      <xdr:nvGraphicFramePr>
        <xdr:cNvPr id="14" name="Chart 13">
          <a:extLst>
            <a:ext uri="{FF2B5EF4-FFF2-40B4-BE49-F238E27FC236}">
              <a16:creationId xmlns:a16="http://schemas.microsoft.com/office/drawing/2014/main" id="{00000000-0008-0000-1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8467</xdr:colOff>
      <xdr:row>27</xdr:row>
      <xdr:rowOff>80434</xdr:rowOff>
    </xdr:from>
    <xdr:to>
      <xdr:col>8</xdr:col>
      <xdr:colOff>638387</xdr:colOff>
      <xdr:row>29</xdr:row>
      <xdr:rowOff>59267</xdr:rowOff>
    </xdr:to>
    <xdr:graphicFrame macro="">
      <xdr:nvGraphicFramePr>
        <xdr:cNvPr id="15" name="Chart 14">
          <a:extLst>
            <a:ext uri="{FF2B5EF4-FFF2-40B4-BE49-F238E27FC236}">
              <a16:creationId xmlns:a16="http://schemas.microsoft.com/office/drawing/2014/main" id="{00000000-0008-0000-1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8467</xdr:colOff>
      <xdr:row>30</xdr:row>
      <xdr:rowOff>45509</xdr:rowOff>
    </xdr:from>
    <xdr:to>
      <xdr:col>9</xdr:col>
      <xdr:colOff>212</xdr:colOff>
      <xdr:row>32</xdr:row>
      <xdr:rowOff>24342</xdr:rowOff>
    </xdr:to>
    <xdr:graphicFrame macro="">
      <xdr:nvGraphicFramePr>
        <xdr:cNvPr id="16" name="Chart 15">
          <a:extLst>
            <a:ext uri="{FF2B5EF4-FFF2-40B4-BE49-F238E27FC236}">
              <a16:creationId xmlns:a16="http://schemas.microsoft.com/office/drawing/2014/main" id="{00000000-0008-0000-1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8467</xdr:colOff>
      <xdr:row>31</xdr:row>
      <xdr:rowOff>215900</xdr:rowOff>
    </xdr:from>
    <xdr:to>
      <xdr:col>8</xdr:col>
      <xdr:colOff>638387</xdr:colOff>
      <xdr:row>33</xdr:row>
      <xdr:rowOff>38100</xdr:rowOff>
    </xdr:to>
    <xdr:graphicFrame macro="">
      <xdr:nvGraphicFramePr>
        <xdr:cNvPr id="18" name="Chart 17">
          <a:extLst>
            <a:ext uri="{FF2B5EF4-FFF2-40B4-BE49-F238E27FC236}">
              <a16:creationId xmlns:a16="http://schemas.microsoft.com/office/drawing/2014/main" id="{00000000-0008-0000-1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8467</xdr:colOff>
      <xdr:row>32</xdr:row>
      <xdr:rowOff>258234</xdr:rowOff>
    </xdr:from>
    <xdr:to>
      <xdr:col>9</xdr:col>
      <xdr:colOff>212</xdr:colOff>
      <xdr:row>34</xdr:row>
      <xdr:rowOff>80434</xdr:rowOff>
    </xdr:to>
    <xdr:graphicFrame macro="">
      <xdr:nvGraphicFramePr>
        <xdr:cNvPr id="19" name="Chart 18">
          <a:extLst>
            <a:ext uri="{FF2B5EF4-FFF2-40B4-BE49-F238E27FC236}">
              <a16:creationId xmlns:a16="http://schemas.microsoft.com/office/drawing/2014/main" id="{00000000-0008-0000-1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8467</xdr:colOff>
      <xdr:row>33</xdr:row>
      <xdr:rowOff>254001</xdr:rowOff>
    </xdr:from>
    <xdr:to>
      <xdr:col>8</xdr:col>
      <xdr:colOff>638387</xdr:colOff>
      <xdr:row>35</xdr:row>
      <xdr:rowOff>76201</xdr:rowOff>
    </xdr:to>
    <xdr:graphicFrame macro="">
      <xdr:nvGraphicFramePr>
        <xdr:cNvPr id="20" name="Chart 19">
          <a:extLst>
            <a:ext uri="{FF2B5EF4-FFF2-40B4-BE49-F238E27FC236}">
              <a16:creationId xmlns:a16="http://schemas.microsoft.com/office/drawing/2014/main" id="{00000000-0008-0000-1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8467</xdr:colOff>
      <xdr:row>34</xdr:row>
      <xdr:rowOff>292100</xdr:rowOff>
    </xdr:from>
    <xdr:to>
      <xdr:col>8</xdr:col>
      <xdr:colOff>638387</xdr:colOff>
      <xdr:row>36</xdr:row>
      <xdr:rowOff>114300</xdr:rowOff>
    </xdr:to>
    <xdr:graphicFrame macro="">
      <xdr:nvGraphicFramePr>
        <xdr:cNvPr id="21" name="Chart 20">
          <a:extLst>
            <a:ext uri="{FF2B5EF4-FFF2-40B4-BE49-F238E27FC236}">
              <a16:creationId xmlns:a16="http://schemas.microsoft.com/office/drawing/2014/main" id="{00000000-0008-0000-1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mc:AlternateContent xmlns:mc="http://schemas.openxmlformats.org/markup-compatibility/2006">
    <mc:Choice xmlns:a14="http://schemas.microsoft.com/office/drawing/2010/main" Requires="a14">
      <xdr:twoCellAnchor editAs="oneCell">
        <xdr:from>
          <xdr:col>5</xdr:col>
          <xdr:colOff>190500</xdr:colOff>
          <xdr:row>8</xdr:row>
          <xdr:rowOff>57150</xdr:rowOff>
        </xdr:from>
        <xdr:to>
          <xdr:col>8</xdr:col>
          <xdr:colOff>209550</xdr:colOff>
          <xdr:row>9</xdr:row>
          <xdr:rowOff>314325</xdr:rowOff>
        </xdr:to>
        <xdr:sp macro="" textlink="">
          <xdr:nvSpPr>
            <xdr:cNvPr id="228354" name="Drop Down 2" hidden="1">
              <a:extLst>
                <a:ext uri="{63B3BB69-23CF-44E3-9099-C40C66FF867C}">
                  <a14:compatExt spid="_x0000_s228354"/>
                </a:ext>
                <a:ext uri="{FF2B5EF4-FFF2-40B4-BE49-F238E27FC236}">
                  <a16:creationId xmlns:a16="http://schemas.microsoft.com/office/drawing/2014/main" id="{00000000-0008-0000-1000-0000027C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editAs="oneCell">
    <xdr:from>
      <xdr:col>8</xdr:col>
      <xdr:colOff>605365</xdr:colOff>
      <xdr:row>0</xdr:row>
      <xdr:rowOff>42334</xdr:rowOff>
    </xdr:from>
    <xdr:to>
      <xdr:col>12</xdr:col>
      <xdr:colOff>241510</xdr:colOff>
      <xdr:row>3</xdr:row>
      <xdr:rowOff>99907</xdr:rowOff>
    </xdr:to>
    <xdr:sp macro="[0]!PrintBS_Final" textlink="">
      <xdr:nvSpPr>
        <xdr:cNvPr id="24" name="Rectangle 23">
          <a:hlinkClick xmlns:r="http://schemas.openxmlformats.org/officeDocument/2006/relationships" r:id="rId19" tooltip="Go to the Financial Scorecard"/>
          <a:extLst>
            <a:ext uri="{FF2B5EF4-FFF2-40B4-BE49-F238E27FC236}">
              <a16:creationId xmlns:a16="http://schemas.microsoft.com/office/drawing/2014/main" id="{00000000-0008-0000-1000-000018000000}"/>
            </a:ext>
          </a:extLst>
        </xdr:cNvPr>
        <xdr:cNvSpPr/>
      </xdr:nvSpPr>
      <xdr:spPr>
        <a:xfrm>
          <a:off x="5834590" y="42334"/>
          <a:ext cx="2093595" cy="562398"/>
        </a:xfrm>
        <a:prstGeom prst="rect">
          <a:avLst/>
        </a:prstGeom>
        <a:solidFill>
          <a:schemeClr val="accent4"/>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ln>
                <a:noFill/>
              </a:ln>
            </a:rPr>
            <a:t>Go</a:t>
          </a:r>
          <a:r>
            <a:rPr lang="en-US" sz="1400" b="1" baseline="0">
              <a:ln>
                <a:noFill/>
              </a:ln>
            </a:rPr>
            <a:t> to Financial Dashboard</a:t>
          </a:r>
          <a:endParaRPr lang="en-US" sz="1400" b="1">
            <a:ln>
              <a:noFill/>
            </a:ln>
          </a:endParaRPr>
        </a:p>
      </xdr:txBody>
    </xdr:sp>
    <xdr:clientData fPrintsWithSheet="0"/>
  </xdr:twoCellAnchor>
  <xdr:twoCellAnchor editAs="oneCell">
    <xdr:from>
      <xdr:col>8</xdr:col>
      <xdr:colOff>605365</xdr:colOff>
      <xdr:row>7</xdr:row>
      <xdr:rowOff>7</xdr:rowOff>
    </xdr:from>
    <xdr:to>
      <xdr:col>12</xdr:col>
      <xdr:colOff>240494</xdr:colOff>
      <xdr:row>9</xdr:row>
      <xdr:rowOff>130605</xdr:rowOff>
    </xdr:to>
    <xdr:sp macro="" textlink="">
      <xdr:nvSpPr>
        <xdr:cNvPr id="25" name="Rectangle 24">
          <a:hlinkClick xmlns:r="http://schemas.openxmlformats.org/officeDocument/2006/relationships" r:id="rId20" tooltip="Click to go to the final cash flow plan to print the summarized cash flow plan."/>
          <a:extLst>
            <a:ext uri="{FF2B5EF4-FFF2-40B4-BE49-F238E27FC236}">
              <a16:creationId xmlns:a16="http://schemas.microsoft.com/office/drawing/2014/main" id="{00000000-0008-0000-1000-000019000000}"/>
            </a:ext>
          </a:extLst>
        </xdr:cNvPr>
        <xdr:cNvSpPr/>
      </xdr:nvSpPr>
      <xdr:spPr>
        <a:xfrm>
          <a:off x="5834590" y="1257307"/>
          <a:ext cx="2092579" cy="549698"/>
        </a:xfrm>
        <a:prstGeom prst="rect">
          <a:avLst/>
        </a:prstGeom>
        <a:solidFill>
          <a:srgbClr val="4A89DC"/>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t>Go to Final </a:t>
          </a:r>
          <a:r>
            <a:rPr lang="en-US" sz="1400" b="1" baseline="0"/>
            <a:t>Cash Flow Plan</a:t>
          </a:r>
          <a:endParaRPr lang="en-US" sz="1400" b="1"/>
        </a:p>
      </xdr:txBody>
    </xdr:sp>
    <xdr:clientData fPrintsWithSheet="0"/>
  </xdr:twoCellAnchor>
  <xdr:twoCellAnchor editAs="oneCell">
    <xdr:from>
      <xdr:col>8</xdr:col>
      <xdr:colOff>605365</xdr:colOff>
      <xdr:row>9</xdr:row>
      <xdr:rowOff>192632</xdr:rowOff>
    </xdr:from>
    <xdr:to>
      <xdr:col>12</xdr:col>
      <xdr:colOff>240494</xdr:colOff>
      <xdr:row>12</xdr:row>
      <xdr:rowOff>84047</xdr:rowOff>
    </xdr:to>
    <xdr:sp macro="[0]!PrintBS_Final" textlink="">
      <xdr:nvSpPr>
        <xdr:cNvPr id="26" name="Rectangle 25">
          <a:hlinkClick xmlns:r="http://schemas.openxmlformats.org/officeDocument/2006/relationships" r:id="rId21" tooltip="Go to General Info"/>
          <a:extLst>
            <a:ext uri="{FF2B5EF4-FFF2-40B4-BE49-F238E27FC236}">
              <a16:creationId xmlns:a16="http://schemas.microsoft.com/office/drawing/2014/main" id="{00000000-0008-0000-1000-00001A000000}"/>
            </a:ext>
          </a:extLst>
        </xdr:cNvPr>
        <xdr:cNvSpPr/>
      </xdr:nvSpPr>
      <xdr:spPr>
        <a:xfrm>
          <a:off x="5834590" y="1869032"/>
          <a:ext cx="2092579" cy="548640"/>
        </a:xfrm>
        <a:prstGeom prst="rect">
          <a:avLst/>
        </a:prstGeom>
        <a:solidFill>
          <a:srgbClr val="F37321"/>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Go</a:t>
          </a:r>
          <a:r>
            <a:rPr lang="en-US" sz="1400" b="1" baseline="0"/>
            <a:t> to Gen Info</a:t>
          </a:r>
          <a:endParaRPr lang="en-US" sz="1400" b="1"/>
        </a:p>
      </xdr:txBody>
    </xdr:sp>
    <xdr:clientData fPrintsWithSheet="0"/>
  </xdr:twoCellAnchor>
  <xdr:twoCellAnchor editAs="oneCell">
    <xdr:from>
      <xdr:col>9</xdr:col>
      <xdr:colOff>0</xdr:colOff>
      <xdr:row>12</xdr:row>
      <xdr:rowOff>136524</xdr:rowOff>
    </xdr:from>
    <xdr:to>
      <xdr:col>12</xdr:col>
      <xdr:colOff>240495</xdr:colOff>
      <xdr:row>14</xdr:row>
      <xdr:rowOff>57573</xdr:rowOff>
    </xdr:to>
    <xdr:sp macro="[0]!PrintBS_Final" textlink="">
      <xdr:nvSpPr>
        <xdr:cNvPr id="27" name="Rectangle 26">
          <a:hlinkClick xmlns:r="http://schemas.openxmlformats.org/officeDocument/2006/relationships" r:id="rId22" tooltip="Go to Balance Sheet Simple Data Entry"/>
          <a:extLst>
            <a:ext uri="{FF2B5EF4-FFF2-40B4-BE49-F238E27FC236}">
              <a16:creationId xmlns:a16="http://schemas.microsoft.com/office/drawing/2014/main" id="{00000000-0008-0000-1000-00001B000000}"/>
            </a:ext>
          </a:extLst>
        </xdr:cNvPr>
        <xdr:cNvSpPr/>
      </xdr:nvSpPr>
      <xdr:spPr>
        <a:xfrm>
          <a:off x="5838825" y="2470149"/>
          <a:ext cx="2088345" cy="549699"/>
        </a:xfrm>
        <a:prstGeom prst="rect">
          <a:avLst/>
        </a:prstGeom>
        <a:solidFill>
          <a:srgbClr val="8CC05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Go</a:t>
          </a:r>
          <a:r>
            <a:rPr lang="en-US" sz="1400" b="1" baseline="0"/>
            <a:t> to Final </a:t>
          </a:r>
          <a:r>
            <a:rPr lang="en-US" sz="1400" b="1"/>
            <a:t>Balance Sheet</a:t>
          </a:r>
        </a:p>
      </xdr:txBody>
    </xdr:sp>
    <xdr:clientData fPrintsWithSheet="0"/>
  </xdr:twoCellAnchor>
  <xdr:twoCellAnchor editAs="oneCell">
    <xdr:from>
      <xdr:col>9</xdr:col>
      <xdr:colOff>0</xdr:colOff>
      <xdr:row>14</xdr:row>
      <xdr:rowOff>160867</xdr:rowOff>
    </xdr:from>
    <xdr:to>
      <xdr:col>12</xdr:col>
      <xdr:colOff>237236</xdr:colOff>
      <xdr:row>19</xdr:row>
      <xdr:rowOff>123053</xdr:rowOff>
    </xdr:to>
    <xdr:pic>
      <xdr:nvPicPr>
        <xdr:cNvPr id="28" name="Picture 27">
          <a:hlinkClick xmlns:r="http://schemas.openxmlformats.org/officeDocument/2006/relationships" r:id="rId23" tooltip="View Interpreting Financial Statements and Measures to help understand your ratios!"/>
          <a:extLst>
            <a:ext uri="{FF2B5EF4-FFF2-40B4-BE49-F238E27FC236}">
              <a16:creationId xmlns:a16="http://schemas.microsoft.com/office/drawing/2014/main" id="{00000000-0008-0000-1000-00001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5838825" y="3123142"/>
          <a:ext cx="2085086" cy="1229011"/>
        </a:xfrm>
        <a:prstGeom prst="rect">
          <a:avLst/>
        </a:prstGeom>
        <a:ln w="12700">
          <a:solidFill>
            <a:sysClr val="windowText" lastClr="000000"/>
          </a:solidFill>
        </a:ln>
      </xdr:spPr>
    </xdr:pic>
    <xdr:clientData fPrintsWithSheet="0"/>
  </xdr:twoCellAnchor>
  <xdr:twoCellAnchor editAs="oneCell">
    <xdr:from>
      <xdr:col>9</xdr:col>
      <xdr:colOff>0</xdr:colOff>
      <xdr:row>19</xdr:row>
      <xdr:rowOff>219106</xdr:rowOff>
    </xdr:from>
    <xdr:to>
      <xdr:col>12</xdr:col>
      <xdr:colOff>236982</xdr:colOff>
      <xdr:row>24</xdr:row>
      <xdr:rowOff>48448</xdr:rowOff>
    </xdr:to>
    <xdr:pic>
      <xdr:nvPicPr>
        <xdr:cNvPr id="2" name="Picture 1">
          <a:hlinkClick xmlns:r="http://schemas.openxmlformats.org/officeDocument/2006/relationships" r:id="rId25"/>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Lst>
        </a:blip>
        <a:stretch>
          <a:fillRect/>
        </a:stretch>
      </xdr:blipFill>
      <xdr:spPr>
        <a:xfrm>
          <a:off x="5838825" y="4448206"/>
          <a:ext cx="2084832" cy="1096167"/>
        </a:xfrm>
        <a:prstGeom prst="rect">
          <a:avLst/>
        </a:prstGeom>
        <a:ln w="12700" cap="sq">
          <a:solidFill>
            <a:srgbClr val="000000"/>
          </a:solidFill>
          <a:miter lim="800000"/>
        </a:ln>
        <a:effectLst>
          <a:outerShdw blurRad="57150" dist="50800" dir="2700000" algn="tl" rotWithShape="0">
            <a:srgbClr val="000000">
              <a:alpha val="40000"/>
            </a:srgbClr>
          </a:outerShdw>
        </a:effectLst>
      </xdr:spPr>
    </xdr:pic>
    <xdr:clientData fPrintsWithSheet="0"/>
  </xdr:twoCellAnchor>
  <xdr:twoCellAnchor editAs="oneCell">
    <xdr:from>
      <xdr:col>8</xdr:col>
      <xdr:colOff>605365</xdr:colOff>
      <xdr:row>3</xdr:row>
      <xdr:rowOff>133350</xdr:rowOff>
    </xdr:from>
    <xdr:to>
      <xdr:col>12</xdr:col>
      <xdr:colOff>241891</xdr:colOff>
      <xdr:row>6</xdr:row>
      <xdr:rowOff>91440</xdr:rowOff>
    </xdr:to>
    <xdr:sp macro="[0]!PrintBS_Final" textlink="">
      <xdr:nvSpPr>
        <xdr:cNvPr id="31" name="Rectangle 30">
          <a:hlinkClick xmlns:r="http://schemas.openxmlformats.org/officeDocument/2006/relationships" r:id="rId27" tooltip="Go to General Info"/>
          <a:extLst>
            <a:ext uri="{FF2B5EF4-FFF2-40B4-BE49-F238E27FC236}">
              <a16:creationId xmlns:a16="http://schemas.microsoft.com/office/drawing/2014/main" id="{00000000-0008-0000-1000-00001F000000}"/>
            </a:ext>
          </a:extLst>
        </xdr:cNvPr>
        <xdr:cNvSpPr/>
      </xdr:nvSpPr>
      <xdr:spPr>
        <a:xfrm>
          <a:off x="5834590" y="638175"/>
          <a:ext cx="2093976" cy="548640"/>
        </a:xfrm>
        <a:prstGeom prst="rect">
          <a:avLst/>
        </a:prstGeom>
        <a:solidFill>
          <a:srgbClr val="FF0000"/>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Go to Schedule</a:t>
          </a:r>
          <a:br>
            <a:rPr lang="en-US" sz="1400" b="1"/>
          </a:br>
          <a:r>
            <a:rPr lang="en-US" sz="1400" b="1"/>
            <a:t> F Analysis</a:t>
          </a:r>
        </a:p>
      </xdr:txBody>
    </xdr:sp>
    <xdr:clientData fPrintsWithSheet="0"/>
  </xdr:twoCellAnchor>
</xdr:wsDr>
</file>

<file path=xl/drawings/drawing21.xml><?xml version="1.0" encoding="utf-8"?>
<xdr:wsDr xmlns:xdr="http://schemas.openxmlformats.org/drawingml/2006/spreadsheetDrawing" xmlns:a="http://schemas.openxmlformats.org/drawingml/2006/main">
  <xdr:twoCellAnchor>
    <xdr:from>
      <xdr:col>8</xdr:col>
      <xdr:colOff>501058</xdr:colOff>
      <xdr:row>33</xdr:row>
      <xdr:rowOff>21175</xdr:rowOff>
    </xdr:from>
    <xdr:to>
      <xdr:col>16</xdr:col>
      <xdr:colOff>583692</xdr:colOff>
      <xdr:row>50</xdr:row>
      <xdr:rowOff>29642</xdr:rowOff>
    </xdr:to>
    <xdr:graphicFrame macro="">
      <xdr:nvGraphicFramePr>
        <xdr:cNvPr id="16" name="Chart 15">
          <a:extLst>
            <a:ext uri="{FF2B5EF4-FFF2-40B4-BE49-F238E27FC236}">
              <a16:creationId xmlns:a16="http://schemas.microsoft.com/office/drawing/2014/main" id="{00000000-0008-0000-1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342901</xdr:colOff>
      <xdr:row>21</xdr:row>
      <xdr:rowOff>65624</xdr:rowOff>
    </xdr:from>
    <xdr:to>
      <xdr:col>3</xdr:col>
      <xdr:colOff>590551</xdr:colOff>
      <xdr:row>24</xdr:row>
      <xdr:rowOff>122775</xdr:rowOff>
    </xdr:to>
    <xdr:sp macro="" textlink="">
      <xdr:nvSpPr>
        <xdr:cNvPr id="7" name="TextBox 6">
          <a:extLst>
            <a:ext uri="{FF2B5EF4-FFF2-40B4-BE49-F238E27FC236}">
              <a16:creationId xmlns:a16="http://schemas.microsoft.com/office/drawing/2014/main" id="{00000000-0008-0000-1200-000007000000}"/>
            </a:ext>
          </a:extLst>
        </xdr:cNvPr>
        <xdr:cNvSpPr txBox="1"/>
      </xdr:nvSpPr>
      <xdr:spPr>
        <a:xfrm>
          <a:off x="342901" y="3443824"/>
          <a:ext cx="2178050" cy="539751"/>
        </a:xfrm>
        <a:prstGeom prst="rect">
          <a:avLst/>
        </a:prstGeom>
        <a:solidFill>
          <a:srgbClr val="4A89D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solidFill>
                <a:schemeClr val="bg1"/>
              </a:solidFill>
            </a:rPr>
            <a:t>Which income &amp; expenses would</a:t>
          </a:r>
          <a:r>
            <a:rPr lang="en-US" sz="1200" b="1" baseline="0">
              <a:solidFill>
                <a:schemeClr val="bg1"/>
              </a:solidFill>
            </a:rPr>
            <a:t> you like to examine?</a:t>
          </a:r>
          <a:endParaRPr lang="en-US" sz="1200" b="1">
            <a:solidFill>
              <a:schemeClr val="bg1"/>
            </a:solidFill>
          </a:endParaRPr>
        </a:p>
      </xdr:txBody>
    </xdr:sp>
    <xdr:clientData/>
  </xdr:twoCellAnchor>
  <xdr:twoCellAnchor>
    <xdr:from>
      <xdr:col>0</xdr:col>
      <xdr:colOff>266700</xdr:colOff>
      <xdr:row>4</xdr:row>
      <xdr:rowOff>85724</xdr:rowOff>
    </xdr:from>
    <xdr:to>
      <xdr:col>8</xdr:col>
      <xdr:colOff>257175</xdr:colOff>
      <xdr:row>20</xdr:row>
      <xdr:rowOff>72178</xdr:rowOff>
    </xdr:to>
    <xdr:graphicFrame macro="">
      <xdr:nvGraphicFramePr>
        <xdr:cNvPr id="2" name="Chart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3</xdr:col>
          <xdr:colOff>104775</xdr:colOff>
          <xdr:row>0</xdr:row>
          <xdr:rowOff>152400</xdr:rowOff>
        </xdr:from>
        <xdr:to>
          <xdr:col>4</xdr:col>
          <xdr:colOff>561975</xdr:colOff>
          <xdr:row>4</xdr:row>
          <xdr:rowOff>57150</xdr:rowOff>
        </xdr:to>
        <xdr:sp macro="" textlink="">
          <xdr:nvSpPr>
            <xdr:cNvPr id="235521" name="Drop Down 1" hidden="1">
              <a:extLst>
                <a:ext uri="{63B3BB69-23CF-44E3-9099-C40C66FF867C}">
                  <a14:compatExt spid="_x0000_s235521"/>
                </a:ext>
                <a:ext uri="{FF2B5EF4-FFF2-40B4-BE49-F238E27FC236}">
                  <a16:creationId xmlns:a16="http://schemas.microsoft.com/office/drawing/2014/main" id="{00000000-0008-0000-1200-00000198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0</xdr:row>
          <xdr:rowOff>152400</xdr:rowOff>
        </xdr:from>
        <xdr:to>
          <xdr:col>11</xdr:col>
          <xdr:colOff>0</xdr:colOff>
          <xdr:row>4</xdr:row>
          <xdr:rowOff>57150</xdr:rowOff>
        </xdr:to>
        <xdr:sp macro="" textlink="">
          <xdr:nvSpPr>
            <xdr:cNvPr id="235522" name="Drop Down 2" hidden="1">
              <a:extLst>
                <a:ext uri="{63B3BB69-23CF-44E3-9099-C40C66FF867C}">
                  <a14:compatExt spid="_x0000_s235522"/>
                </a:ext>
                <a:ext uri="{FF2B5EF4-FFF2-40B4-BE49-F238E27FC236}">
                  <a16:creationId xmlns:a16="http://schemas.microsoft.com/office/drawing/2014/main" id="{00000000-0008-0000-1200-00000298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0</xdr:row>
          <xdr:rowOff>152400</xdr:rowOff>
        </xdr:from>
        <xdr:to>
          <xdr:col>16</xdr:col>
          <xdr:colOff>571500</xdr:colOff>
          <xdr:row>4</xdr:row>
          <xdr:rowOff>57150</xdr:rowOff>
        </xdr:to>
        <xdr:sp macro="" textlink="">
          <xdr:nvSpPr>
            <xdr:cNvPr id="235523" name="Drop Down 3" hidden="1">
              <a:extLst>
                <a:ext uri="{63B3BB69-23CF-44E3-9099-C40C66FF867C}">
                  <a14:compatExt spid="_x0000_s235523"/>
                </a:ext>
                <a:ext uri="{FF2B5EF4-FFF2-40B4-BE49-F238E27FC236}">
                  <a16:creationId xmlns:a16="http://schemas.microsoft.com/office/drawing/2014/main" id="{00000000-0008-0000-1200-00000398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editAs="oneCell">
    <xdr:from>
      <xdr:col>8</xdr:col>
      <xdr:colOff>501058</xdr:colOff>
      <xdr:row>4</xdr:row>
      <xdr:rowOff>85724</xdr:rowOff>
    </xdr:from>
    <xdr:to>
      <xdr:col>16</xdr:col>
      <xdr:colOff>580644</xdr:colOff>
      <xdr:row>20</xdr:row>
      <xdr:rowOff>72178</xdr:rowOff>
    </xdr:to>
    <xdr:graphicFrame macro="">
      <xdr:nvGraphicFramePr>
        <xdr:cNvPr id="6" name="Chart 5">
          <a:extLst>
            <a:ext uri="{FF2B5EF4-FFF2-40B4-BE49-F238E27FC236}">
              <a16:creationId xmlns:a16="http://schemas.microsoft.com/office/drawing/2014/main" id="{00000000-0008-0000-1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8</xdr:col>
      <xdr:colOff>512281</xdr:colOff>
      <xdr:row>20</xdr:row>
      <xdr:rowOff>125949</xdr:rowOff>
    </xdr:from>
    <xdr:to>
      <xdr:col>14</xdr:col>
      <xdr:colOff>188431</xdr:colOff>
      <xdr:row>32</xdr:row>
      <xdr:rowOff>135474</xdr:rowOff>
    </xdr:to>
    <xdr:pic>
      <xdr:nvPicPr>
        <xdr:cNvPr id="5" name="Picture 4">
          <a:hlinkClick xmlns:r="http://schemas.openxmlformats.org/officeDocument/2006/relationships" r:id="rId4" tooltip="View Interpreting Financial Statements and Measures to help understand your ratios!"/>
          <a:extLst>
            <a:ext uri="{FF2B5EF4-FFF2-40B4-BE49-F238E27FC236}">
              <a16:creationId xmlns:a16="http://schemas.microsoft.com/office/drawing/2014/main" id="{00000000-0008-0000-12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660014" y="3343282"/>
          <a:ext cx="3536950" cy="1939925"/>
        </a:xfrm>
        <a:prstGeom prst="rect">
          <a:avLst/>
        </a:prstGeom>
        <a:ln w="12700">
          <a:solidFill>
            <a:sysClr val="windowText" lastClr="000000"/>
          </a:solidFill>
        </a:ln>
      </xdr:spPr>
    </xdr:pic>
    <xdr:clientData/>
  </xdr:twoCellAnchor>
  <xdr:twoCellAnchor editAs="oneCell">
    <xdr:from>
      <xdr:col>9</xdr:col>
      <xdr:colOff>641978</xdr:colOff>
      <xdr:row>22</xdr:row>
      <xdr:rowOff>33867</xdr:rowOff>
    </xdr:from>
    <xdr:to>
      <xdr:col>13</xdr:col>
      <xdr:colOff>58733</xdr:colOff>
      <xdr:row>25</xdr:row>
      <xdr:rowOff>100542</xdr:rowOff>
    </xdr:to>
    <xdr:pic>
      <xdr:nvPicPr>
        <xdr:cNvPr id="3" name="Picture 2">
          <a:hlinkClick xmlns:r="http://schemas.openxmlformats.org/officeDocument/2006/relationships" r:id="rId4" tooltip="View Interpreting Financial Statements and Measures to help understand your ratios!"/>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433178" y="3572934"/>
          <a:ext cx="1990622" cy="5492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66675</xdr:colOff>
          <xdr:row>21</xdr:row>
          <xdr:rowOff>66675</xdr:rowOff>
        </xdr:from>
        <xdr:to>
          <xdr:col>7</xdr:col>
          <xdr:colOff>381000</xdr:colOff>
          <xdr:row>24</xdr:row>
          <xdr:rowOff>123825</xdr:rowOff>
        </xdr:to>
        <xdr:sp macro="" textlink="">
          <xdr:nvSpPr>
            <xdr:cNvPr id="235524" name="Drop Down 4" hidden="1">
              <a:extLst>
                <a:ext uri="{63B3BB69-23CF-44E3-9099-C40C66FF867C}">
                  <a14:compatExt spid="_x0000_s235524"/>
                </a:ext>
                <a:ext uri="{FF2B5EF4-FFF2-40B4-BE49-F238E27FC236}">
                  <a16:creationId xmlns:a16="http://schemas.microsoft.com/office/drawing/2014/main" id="{00000000-0008-0000-1200-00000498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0</xdr:col>
      <xdr:colOff>269367</xdr:colOff>
      <xdr:row>25</xdr:row>
      <xdr:rowOff>8474</xdr:rowOff>
    </xdr:from>
    <xdr:to>
      <xdr:col>8</xdr:col>
      <xdr:colOff>257175</xdr:colOff>
      <xdr:row>42</xdr:row>
      <xdr:rowOff>8</xdr:rowOff>
    </xdr:to>
    <xdr:graphicFrame macro="">
      <xdr:nvGraphicFramePr>
        <xdr:cNvPr id="11" name="Chart 10">
          <a:extLst>
            <a:ext uri="{FF2B5EF4-FFF2-40B4-BE49-F238E27FC236}">
              <a16:creationId xmlns:a16="http://schemas.microsoft.com/office/drawing/2014/main" id="{00000000-0008-0000-1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266700</xdr:colOff>
      <xdr:row>0</xdr:row>
      <xdr:rowOff>157162</xdr:rowOff>
    </xdr:from>
    <xdr:to>
      <xdr:col>3</xdr:col>
      <xdr:colOff>61384</xdr:colOff>
      <xdr:row>4</xdr:row>
      <xdr:rowOff>52388</xdr:rowOff>
    </xdr:to>
    <xdr:sp macro="" textlink="">
      <xdr:nvSpPr>
        <xdr:cNvPr id="13" name="TextBox 12">
          <a:extLst>
            <a:ext uri="{FF2B5EF4-FFF2-40B4-BE49-F238E27FC236}">
              <a16:creationId xmlns:a16="http://schemas.microsoft.com/office/drawing/2014/main" id="{00000000-0008-0000-1200-00000D000000}"/>
            </a:ext>
          </a:extLst>
        </xdr:cNvPr>
        <xdr:cNvSpPr txBox="1"/>
      </xdr:nvSpPr>
      <xdr:spPr>
        <a:xfrm>
          <a:off x="266700" y="157162"/>
          <a:ext cx="1725084" cy="538693"/>
        </a:xfrm>
        <a:prstGeom prst="rect">
          <a:avLst/>
        </a:prstGeom>
        <a:solidFill>
          <a:srgbClr val="4A89D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solidFill>
                <a:schemeClr val="bg1"/>
              </a:solidFill>
            </a:rPr>
            <a:t>Which year would you like to </a:t>
          </a:r>
          <a:r>
            <a:rPr lang="en-US" sz="1200" b="1" baseline="0">
              <a:solidFill>
                <a:schemeClr val="bg1"/>
              </a:solidFill>
            </a:rPr>
            <a:t>examine?</a:t>
          </a:r>
          <a:endParaRPr lang="en-US" sz="1200" b="1">
            <a:solidFill>
              <a:schemeClr val="bg1"/>
            </a:solidFill>
          </a:endParaRPr>
        </a:p>
      </xdr:txBody>
    </xdr:sp>
    <xdr:clientData/>
  </xdr:twoCellAnchor>
  <xdr:twoCellAnchor>
    <xdr:from>
      <xdr:col>4</xdr:col>
      <xdr:colOff>588429</xdr:colOff>
      <xdr:row>0</xdr:row>
      <xdr:rowOff>157162</xdr:rowOff>
    </xdr:from>
    <xdr:to>
      <xdr:col>8</xdr:col>
      <xdr:colOff>340780</xdr:colOff>
      <xdr:row>4</xdr:row>
      <xdr:rowOff>52388</xdr:rowOff>
    </xdr:to>
    <xdr:sp macro="" textlink="">
      <xdr:nvSpPr>
        <xdr:cNvPr id="14" name="TextBox 13">
          <a:extLst>
            <a:ext uri="{FF2B5EF4-FFF2-40B4-BE49-F238E27FC236}">
              <a16:creationId xmlns:a16="http://schemas.microsoft.com/office/drawing/2014/main" id="{00000000-0008-0000-1200-00000E000000}"/>
            </a:ext>
          </a:extLst>
        </xdr:cNvPr>
        <xdr:cNvSpPr txBox="1"/>
      </xdr:nvSpPr>
      <xdr:spPr>
        <a:xfrm>
          <a:off x="3162296" y="157162"/>
          <a:ext cx="2326217" cy="538693"/>
        </a:xfrm>
        <a:prstGeom prst="rect">
          <a:avLst/>
        </a:prstGeom>
        <a:solidFill>
          <a:srgbClr val="4A89D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solidFill>
                <a:schemeClr val="bg1"/>
              </a:solidFill>
            </a:rPr>
            <a:t>Which farm financial standards ratio do you want to examine</a:t>
          </a:r>
          <a:r>
            <a:rPr lang="en-US" sz="1200" b="1" baseline="0">
              <a:solidFill>
                <a:schemeClr val="bg1"/>
              </a:solidFill>
            </a:rPr>
            <a:t>?</a:t>
          </a:r>
          <a:endParaRPr lang="en-US" sz="1200" b="1">
            <a:solidFill>
              <a:schemeClr val="bg1"/>
            </a:solidFill>
          </a:endParaRPr>
        </a:p>
      </xdr:txBody>
    </xdr:sp>
    <xdr:clientData/>
  </xdr:twoCellAnchor>
  <xdr:twoCellAnchor>
    <xdr:from>
      <xdr:col>11</xdr:col>
      <xdr:colOff>51863</xdr:colOff>
      <xdr:row>0</xdr:row>
      <xdr:rowOff>157162</xdr:rowOff>
    </xdr:from>
    <xdr:to>
      <xdr:col>13</xdr:col>
      <xdr:colOff>215900</xdr:colOff>
      <xdr:row>4</xdr:row>
      <xdr:rowOff>52388</xdr:rowOff>
    </xdr:to>
    <xdr:sp macro="" textlink="">
      <xdr:nvSpPr>
        <xdr:cNvPr id="15" name="TextBox 14">
          <a:extLst>
            <a:ext uri="{FF2B5EF4-FFF2-40B4-BE49-F238E27FC236}">
              <a16:creationId xmlns:a16="http://schemas.microsoft.com/office/drawing/2014/main" id="{00000000-0008-0000-1200-00000F000000}"/>
            </a:ext>
          </a:extLst>
        </xdr:cNvPr>
        <xdr:cNvSpPr txBox="1"/>
      </xdr:nvSpPr>
      <xdr:spPr>
        <a:xfrm>
          <a:off x="7129996" y="157162"/>
          <a:ext cx="1450971" cy="538693"/>
        </a:xfrm>
        <a:prstGeom prst="rect">
          <a:avLst/>
        </a:prstGeom>
        <a:solidFill>
          <a:srgbClr val="4A89DC"/>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solidFill>
                <a:schemeClr val="bg1"/>
              </a:solidFill>
            </a:rPr>
            <a:t>How do you sell your product</a:t>
          </a:r>
          <a:r>
            <a:rPr lang="en-US" sz="1200" b="1" baseline="0">
              <a:solidFill>
                <a:schemeClr val="bg1"/>
              </a:solidFill>
            </a:rPr>
            <a:t>?</a:t>
          </a:r>
          <a:endParaRPr lang="en-US" sz="1200" b="1">
            <a:solidFill>
              <a:schemeClr val="bg1"/>
            </a:solidFill>
          </a:endParaRPr>
        </a:p>
      </xdr:txBody>
    </xdr:sp>
    <xdr:clientData/>
  </xdr:twoCellAnchor>
  <xdr:twoCellAnchor>
    <xdr:from>
      <xdr:col>14</xdr:col>
      <xdr:colOff>249767</xdr:colOff>
      <xdr:row>20</xdr:row>
      <xdr:rowOff>125949</xdr:rowOff>
    </xdr:from>
    <xdr:to>
      <xdr:col>16</xdr:col>
      <xdr:colOff>608753</xdr:colOff>
      <xdr:row>24</xdr:row>
      <xdr:rowOff>31122</xdr:rowOff>
    </xdr:to>
    <xdr:sp macro="[0]!PrintBS_Final" textlink="">
      <xdr:nvSpPr>
        <xdr:cNvPr id="18" name="Rectangle 17">
          <a:hlinkClick xmlns:r="http://schemas.openxmlformats.org/officeDocument/2006/relationships" r:id="rId8" tooltip="Go to the Financial Scorecard"/>
          <a:extLst>
            <a:ext uri="{FF2B5EF4-FFF2-40B4-BE49-F238E27FC236}">
              <a16:creationId xmlns:a16="http://schemas.microsoft.com/office/drawing/2014/main" id="{00000000-0008-0000-1200-000012000000}"/>
            </a:ext>
          </a:extLst>
        </xdr:cNvPr>
        <xdr:cNvSpPr/>
      </xdr:nvSpPr>
      <xdr:spPr>
        <a:xfrm>
          <a:off x="8784167" y="3364449"/>
          <a:ext cx="1578186" cy="552873"/>
        </a:xfrm>
        <a:prstGeom prst="rect">
          <a:avLst/>
        </a:prstGeom>
        <a:solidFill>
          <a:schemeClr val="accent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ln>
                <a:noFill/>
              </a:ln>
            </a:rPr>
            <a:t>Go</a:t>
          </a:r>
          <a:r>
            <a:rPr lang="en-US" sz="1400" b="1" baseline="0">
              <a:ln>
                <a:noFill/>
              </a:ln>
            </a:rPr>
            <a:t> to Financial Scorecard</a:t>
          </a:r>
          <a:endParaRPr lang="en-US" sz="1400" b="1">
            <a:ln>
              <a:noFill/>
            </a:ln>
          </a:endParaRPr>
        </a:p>
      </xdr:txBody>
    </xdr:sp>
    <xdr:clientData/>
  </xdr:twoCellAnchor>
  <xdr:twoCellAnchor editAs="oneCell">
    <xdr:from>
      <xdr:col>14</xdr:col>
      <xdr:colOff>249766</xdr:colOff>
      <xdr:row>29</xdr:row>
      <xdr:rowOff>71967</xdr:rowOff>
    </xdr:from>
    <xdr:to>
      <xdr:col>16</xdr:col>
      <xdr:colOff>608752</xdr:colOff>
      <xdr:row>32</xdr:row>
      <xdr:rowOff>138007</xdr:rowOff>
    </xdr:to>
    <xdr:sp macro="" textlink="">
      <xdr:nvSpPr>
        <xdr:cNvPr id="20" name="Rectangle 19">
          <a:hlinkClick xmlns:r="http://schemas.openxmlformats.org/officeDocument/2006/relationships" r:id="rId9" tooltip="Click to go to the final cash flow plan to print the summarized cash flow plan."/>
          <a:extLst>
            <a:ext uri="{FF2B5EF4-FFF2-40B4-BE49-F238E27FC236}">
              <a16:creationId xmlns:a16="http://schemas.microsoft.com/office/drawing/2014/main" id="{00000000-0008-0000-1200-000014000000}"/>
            </a:ext>
          </a:extLst>
        </xdr:cNvPr>
        <xdr:cNvSpPr/>
      </xdr:nvSpPr>
      <xdr:spPr>
        <a:xfrm>
          <a:off x="9258299" y="4737100"/>
          <a:ext cx="1645920" cy="548640"/>
        </a:xfrm>
        <a:prstGeom prst="rect">
          <a:avLst/>
        </a:prstGeom>
        <a:solidFill>
          <a:srgbClr val="4A89DC"/>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t>Go to Final </a:t>
          </a:r>
          <a:r>
            <a:rPr lang="en-US" sz="1400" b="1" baseline="0"/>
            <a:t>Cash Flow Plan</a:t>
          </a:r>
          <a:endParaRPr lang="en-US" sz="1400" b="1"/>
        </a:p>
      </xdr:txBody>
    </xdr:sp>
    <xdr:clientData fPrintsWithSheet="0"/>
  </xdr:twoCellAnchor>
  <xdr:twoCellAnchor editAs="oneCell">
    <xdr:from>
      <xdr:col>17</xdr:col>
      <xdr:colOff>78316</xdr:colOff>
      <xdr:row>0</xdr:row>
      <xdr:rowOff>141082</xdr:rowOff>
    </xdr:from>
    <xdr:to>
      <xdr:col>19</xdr:col>
      <xdr:colOff>437302</xdr:colOff>
      <xdr:row>4</xdr:row>
      <xdr:rowOff>45197</xdr:rowOff>
    </xdr:to>
    <xdr:sp macro="[0]!PrintBS_Final" textlink="">
      <xdr:nvSpPr>
        <xdr:cNvPr id="21" name="Rectangle 20">
          <a:hlinkClick xmlns:r="http://schemas.openxmlformats.org/officeDocument/2006/relationships" r:id="rId10" tooltip="Go to General Info"/>
          <a:extLst>
            <a:ext uri="{FF2B5EF4-FFF2-40B4-BE49-F238E27FC236}">
              <a16:creationId xmlns:a16="http://schemas.microsoft.com/office/drawing/2014/main" id="{00000000-0008-0000-1200-000015000000}"/>
            </a:ext>
          </a:extLst>
        </xdr:cNvPr>
        <xdr:cNvSpPr/>
      </xdr:nvSpPr>
      <xdr:spPr>
        <a:xfrm>
          <a:off x="10441516" y="141082"/>
          <a:ext cx="1578186" cy="551815"/>
        </a:xfrm>
        <a:prstGeom prst="rect">
          <a:avLst/>
        </a:prstGeom>
        <a:solidFill>
          <a:srgbClr val="F37321"/>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Go</a:t>
          </a:r>
          <a:r>
            <a:rPr lang="en-US" sz="1400" b="1" baseline="0"/>
            <a:t> to Gen Info</a:t>
          </a:r>
          <a:endParaRPr lang="en-US" sz="1400" b="1"/>
        </a:p>
      </xdr:txBody>
    </xdr:sp>
    <xdr:clientData fPrintsWithSheet="0"/>
  </xdr:twoCellAnchor>
  <xdr:twoCellAnchor editAs="oneCell">
    <xdr:from>
      <xdr:col>17</xdr:col>
      <xdr:colOff>209550</xdr:colOff>
      <xdr:row>20</xdr:row>
      <xdr:rowOff>125975</xdr:rowOff>
    </xdr:from>
    <xdr:to>
      <xdr:col>23</xdr:col>
      <xdr:colOff>209550</xdr:colOff>
      <xdr:row>32</xdr:row>
      <xdr:rowOff>105975</xdr:rowOff>
    </xdr:to>
    <xdr:pic>
      <xdr:nvPicPr>
        <xdr:cNvPr id="4" name="Picture 3">
          <a:hlinkClick xmlns:r="http://schemas.openxmlformats.org/officeDocument/2006/relationships" r:id="rId11"/>
          <a:extLst>
            <a:ext uri="{FF2B5EF4-FFF2-40B4-BE49-F238E27FC236}">
              <a16:creationId xmlns:a16="http://schemas.microsoft.com/office/drawing/2014/main" id="{00000000-0008-0000-1200-000004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0572750" y="3364475"/>
          <a:ext cx="3657600" cy="1923100"/>
        </a:xfrm>
        <a:prstGeom prst="rect">
          <a:avLst/>
        </a:prstGeom>
        <a:ln w="9525"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14</xdr:col>
      <xdr:colOff>249767</xdr:colOff>
      <xdr:row>25</xdr:row>
      <xdr:rowOff>9525</xdr:rowOff>
    </xdr:from>
    <xdr:to>
      <xdr:col>17</xdr:col>
      <xdr:colOff>2879</xdr:colOff>
      <xdr:row>28</xdr:row>
      <xdr:rowOff>72390</xdr:rowOff>
    </xdr:to>
    <xdr:sp macro="[0]!PrintBS_Final" textlink="">
      <xdr:nvSpPr>
        <xdr:cNvPr id="22" name="Rectangle 21">
          <a:hlinkClick xmlns:r="http://schemas.openxmlformats.org/officeDocument/2006/relationships" r:id="rId13" tooltip="Go to General Info"/>
          <a:extLst>
            <a:ext uri="{FF2B5EF4-FFF2-40B4-BE49-F238E27FC236}">
              <a16:creationId xmlns:a16="http://schemas.microsoft.com/office/drawing/2014/main" id="{00000000-0008-0000-1200-000016000000}"/>
            </a:ext>
          </a:extLst>
        </xdr:cNvPr>
        <xdr:cNvSpPr/>
      </xdr:nvSpPr>
      <xdr:spPr>
        <a:xfrm>
          <a:off x="8784167" y="4057650"/>
          <a:ext cx="1581912" cy="548640"/>
        </a:xfrm>
        <a:prstGeom prst="rect">
          <a:avLst/>
        </a:prstGeom>
        <a:solidFill>
          <a:srgbClr val="FF0000"/>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Go to Schedule</a:t>
          </a:r>
          <a:br>
            <a:rPr lang="en-US" sz="1400" b="1"/>
          </a:br>
          <a:r>
            <a:rPr lang="en-US" sz="1400" b="1"/>
            <a:t> F Analysis</a:t>
          </a:r>
        </a:p>
      </xdr:txBody>
    </xdr:sp>
    <xdr:clientData fPrintsWithSheet="0"/>
  </xdr:twoCellAnchor>
</xdr:wsDr>
</file>

<file path=xl/drawings/drawing22.xml><?xml version="1.0" encoding="utf-8"?>
<c:userShapes xmlns:c="http://schemas.openxmlformats.org/drawingml/2006/chart">
  <cdr:relSizeAnchor xmlns:cdr="http://schemas.openxmlformats.org/drawingml/2006/chartDrawing">
    <cdr:from>
      <cdr:x>0.94859</cdr:x>
      <cdr:y>0.0108</cdr:y>
    </cdr:from>
    <cdr:to>
      <cdr:x>0.99404</cdr:x>
      <cdr:y>0.09359</cdr:y>
    </cdr:to>
    <cdr:pic>
      <cdr:nvPicPr>
        <cdr:cNvPr id="2" name="Picture 1">
          <a:extLst xmlns:a="http://schemas.openxmlformats.org/drawingml/2006/main">
            <a:ext uri="{FF2B5EF4-FFF2-40B4-BE49-F238E27FC236}">
              <a16:creationId xmlns:a16="http://schemas.microsoft.com/office/drawing/2014/main" id="{A6E5230F-FFA4-4E06-94C9-3757861AAF0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704469" y="29821"/>
          <a:ext cx="225407" cy="228600"/>
        </a:xfrm>
        <a:prstGeom xmlns:a="http://schemas.openxmlformats.org/drawingml/2006/main" prst="rect">
          <a:avLst/>
        </a:prstGeom>
      </cdr:spPr>
    </cdr:pic>
  </cdr:relSizeAnchor>
</c:userShapes>
</file>

<file path=xl/drawings/drawing23.xml><?xml version="1.0" encoding="utf-8"?>
<c:userShapes xmlns:c="http://schemas.openxmlformats.org/drawingml/2006/chart">
  <cdr:relSizeAnchor xmlns:cdr="http://schemas.openxmlformats.org/drawingml/2006/chartDrawing">
    <cdr:from>
      <cdr:x>0.01435</cdr:x>
      <cdr:y>0.67653</cdr:y>
    </cdr:from>
    <cdr:to>
      <cdr:x>0.98657</cdr:x>
      <cdr:y>0.99509</cdr:y>
    </cdr:to>
    <cdr:sp macro="" textlink="Inputs!$N$60">
      <cdr:nvSpPr>
        <cdr:cNvPr id="2" name="TextBox 1"/>
        <cdr:cNvSpPr txBox="1"/>
      </cdr:nvSpPr>
      <cdr:spPr>
        <a:xfrm xmlns:a="http://schemas.openxmlformats.org/drawingml/2006/main">
          <a:off x="69845" y="1897385"/>
          <a:ext cx="4732062" cy="893441"/>
        </a:xfrm>
        <a:prstGeom xmlns:a="http://schemas.openxmlformats.org/drawingml/2006/main" prst="rect">
          <a:avLst/>
        </a:prstGeom>
      </cdr:spPr>
      <cdr:txBody>
        <a:bodyPr xmlns:a="http://schemas.openxmlformats.org/drawingml/2006/main" vertOverflow="clip" horzOverflow="clip" wrap="square" rtlCol="0" anchor="ctr" anchorCtr="1">
          <a:noAutofit/>
        </a:bodyPr>
        <a:lstStyle xmlns:a="http://schemas.openxmlformats.org/drawingml/2006/main"/>
        <a:p xmlns:a="http://schemas.openxmlformats.org/drawingml/2006/main">
          <a:fld id="{CBB74C25-3EE5-4292-B2DF-6A683BFF8815}" type="TxLink">
            <a:rPr lang="en-US" sz="1100" b="0" i="0" u="none" strike="noStrike">
              <a:solidFill>
                <a:srgbClr val="000000"/>
              </a:solidFill>
              <a:latin typeface="Arial"/>
              <a:cs typeface="Arial"/>
            </a:rPr>
            <a:pPr/>
            <a:t>The Interest Expense shows how what percentage of gross farm income is used to pay interest costs for borrowed money.</a:t>
          </a:fld>
          <a:endParaRPr lang="en-US" sz="1400"/>
        </a:p>
      </cdr:txBody>
    </cdr:sp>
  </cdr:relSizeAnchor>
  <cdr:relSizeAnchor xmlns:cdr="http://schemas.openxmlformats.org/drawingml/2006/chartDrawing">
    <cdr:from>
      <cdr:x>0.00989</cdr:x>
      <cdr:y>0.01823</cdr:y>
    </cdr:from>
    <cdr:to>
      <cdr:x>0.05616</cdr:x>
      <cdr:y>0.10693</cdr:y>
    </cdr:to>
    <cdr:pic>
      <cdr:nvPicPr>
        <cdr:cNvPr id="3" name="Picture 2">
          <a:extLst xmlns:a="http://schemas.openxmlformats.org/drawingml/2006/main">
            <a:ext uri="{FF2B5EF4-FFF2-40B4-BE49-F238E27FC236}">
              <a16:creationId xmlns:a16="http://schemas.microsoft.com/office/drawing/2014/main" id="{E0C8BA9E-B99C-43D0-91F0-4DED826CBB10}"/>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8137" y="46983"/>
          <a:ext cx="225209" cy="228600"/>
        </a:xfrm>
        <a:prstGeom xmlns:a="http://schemas.openxmlformats.org/drawingml/2006/main" prst="rect">
          <a:avLst/>
        </a:prstGeom>
      </cdr:spPr>
    </cdr:pic>
  </cdr:relSizeAnchor>
</c:userShapes>
</file>

<file path=xl/drawings/drawing24.xml><?xml version="1.0" encoding="utf-8"?>
<c:userShapes xmlns:c="http://schemas.openxmlformats.org/drawingml/2006/chart">
  <cdr:absSizeAnchor xmlns:cdr="http://schemas.openxmlformats.org/drawingml/2006/chartDrawing">
    <cdr:from>
      <cdr:x>0.94807</cdr:x>
      <cdr:y>0.90371</cdr:y>
    </cdr:from>
    <cdr:ext cx="228600" cy="228598"/>
    <cdr:pic>
      <cdr:nvPicPr>
        <cdr:cNvPr id="3" name="Picture 2">
          <a:extLst xmlns:a="http://schemas.openxmlformats.org/drawingml/2006/main">
            <a:ext uri="{FF2B5EF4-FFF2-40B4-BE49-F238E27FC236}">
              <a16:creationId xmlns:a16="http://schemas.microsoft.com/office/drawing/2014/main" id="{32AE169E-3AB5-4824-A9B6-96CE56372101}"/>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699018" y="2329085"/>
          <a:ext cx="228600" cy="228598"/>
        </a:xfrm>
        <a:prstGeom xmlns:a="http://schemas.openxmlformats.org/drawingml/2006/main" prst="rect">
          <a:avLst/>
        </a:prstGeom>
      </cdr:spPr>
    </cdr:pic>
  </cdr:absSizeAnchor>
</c:userShapes>
</file>

<file path=xl/drawings/drawing25.xml><?xml version="1.0" encoding="utf-8"?>
<c:userShapes xmlns:c="http://schemas.openxmlformats.org/drawingml/2006/chart">
  <cdr:relSizeAnchor xmlns:cdr="http://schemas.openxmlformats.org/drawingml/2006/chartDrawing">
    <cdr:from>
      <cdr:x>0.94714</cdr:x>
      <cdr:y>0.01553</cdr:y>
    </cdr:from>
    <cdr:to>
      <cdr:x>0.99344</cdr:x>
      <cdr:y>0.09883</cdr:y>
    </cdr:to>
    <cdr:pic>
      <cdr:nvPicPr>
        <cdr:cNvPr id="2" name="Picture 1">
          <a:extLst xmlns:a="http://schemas.openxmlformats.org/drawingml/2006/main">
            <a:ext uri="{FF2B5EF4-FFF2-40B4-BE49-F238E27FC236}">
              <a16:creationId xmlns:a16="http://schemas.microsoft.com/office/drawing/2014/main" id="{23C788B0-74F3-46C7-AF3F-C487ECD1B6C0}"/>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607465" y="42618"/>
          <a:ext cx="225231" cy="228600"/>
        </a:xfrm>
        <a:prstGeom xmlns:a="http://schemas.openxmlformats.org/drawingml/2006/main" prst="rect">
          <a:avLst/>
        </a:prstGeom>
      </cdr:spPr>
    </cdr:pic>
  </cdr:relSizeAnchor>
</c:userShapes>
</file>

<file path=xl/drawings/drawing3.xml><?xml version="1.0" encoding="utf-8"?>
<c:userShapes xmlns:c="http://schemas.openxmlformats.org/drawingml/2006/chart">
  <cdr:relSizeAnchor xmlns:cdr="http://schemas.openxmlformats.org/drawingml/2006/chartDrawing">
    <cdr:from>
      <cdr:x>0.0051</cdr:x>
      <cdr:y>0.79572</cdr:y>
    </cdr:from>
    <cdr:to>
      <cdr:x>0.99716</cdr:x>
      <cdr:y>0.906</cdr:y>
    </cdr:to>
    <cdr:sp macro="" textlink="Inputs!$N$60">
      <cdr:nvSpPr>
        <cdr:cNvPr id="2" name="TextBox 1"/>
        <cdr:cNvSpPr txBox="1"/>
      </cdr:nvSpPr>
      <cdr:spPr>
        <a:xfrm xmlns:a="http://schemas.openxmlformats.org/drawingml/2006/main">
          <a:off x="32158" y="3079714"/>
          <a:ext cx="6255484" cy="426784"/>
        </a:xfrm>
        <a:prstGeom xmlns:a="http://schemas.openxmlformats.org/drawingml/2006/main" prst="rect">
          <a:avLst/>
        </a:prstGeom>
      </cdr:spPr>
      <cdr:txBody>
        <a:bodyPr xmlns:a="http://schemas.openxmlformats.org/drawingml/2006/main" vertOverflow="clip" horzOverflow="clip" wrap="square" rtlCol="0" anchor="ctr" anchorCtr="1">
          <a:spAutoFit/>
        </a:bodyPr>
        <a:lstStyle xmlns:a="http://schemas.openxmlformats.org/drawingml/2006/main"/>
        <a:p xmlns:a="http://schemas.openxmlformats.org/drawingml/2006/main">
          <a:fld id="{CBB74C25-3EE5-4292-B2DF-6A683BFF8815}" type="TxLink">
            <a:rPr lang="en-US" sz="1100" b="0" i="0" u="none" strike="noStrike">
              <a:solidFill>
                <a:srgbClr val="000000"/>
              </a:solidFill>
              <a:latin typeface="Arial"/>
              <a:cs typeface="Arial"/>
            </a:rPr>
            <a:pPr/>
            <a:t>The Interest Expense shows how what percentage of gross farm income is used to pay interest costs for borrowed money.</a:t>
          </a:fld>
          <a:endParaRPr lang="en-US" sz="1400"/>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3129643</xdr:colOff>
      <xdr:row>5</xdr:row>
      <xdr:rowOff>188427</xdr:rowOff>
    </xdr:from>
    <xdr:to>
      <xdr:col>0</xdr:col>
      <xdr:colOff>3312523</xdr:colOff>
      <xdr:row>6</xdr:row>
      <xdr:rowOff>180807</xdr:rowOff>
    </xdr:to>
    <xdr:pic>
      <xdr:nvPicPr>
        <xdr:cNvPr id="3" name="Picture 2">
          <a:hlinkClick xmlns:r="http://schemas.openxmlformats.org/officeDocument/2006/relationships" r:id="rId1" tooltip="Go to completed balance sheet"/>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9643" y="1204427"/>
          <a:ext cx="182880" cy="182880"/>
        </a:xfrm>
        <a:prstGeom prst="rect">
          <a:avLst/>
        </a:prstGeom>
      </xdr:spPr>
    </xdr:pic>
    <xdr:clientData fPrintsWithSheet="0"/>
  </xdr:twoCellAnchor>
  <xdr:twoCellAnchor editAs="oneCell">
    <xdr:from>
      <xdr:col>3</xdr:col>
      <xdr:colOff>3122841</xdr:colOff>
      <xdr:row>6</xdr:row>
      <xdr:rowOff>649</xdr:rowOff>
    </xdr:from>
    <xdr:to>
      <xdr:col>3</xdr:col>
      <xdr:colOff>3304425</xdr:colOff>
      <xdr:row>6</xdr:row>
      <xdr:rowOff>182233</xdr:rowOff>
    </xdr:to>
    <xdr:pic>
      <xdr:nvPicPr>
        <xdr:cNvPr id="14" name="Picture 13">
          <a:hlinkClick xmlns:r="http://schemas.openxmlformats.org/officeDocument/2006/relationships" r:id="rId3" tooltip="Go to completed balance sheet"/>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99616" y="1210324"/>
          <a:ext cx="181584" cy="181584"/>
        </a:xfrm>
        <a:prstGeom prst="rect">
          <a:avLst/>
        </a:prstGeom>
      </xdr:spPr>
    </xdr:pic>
    <xdr:clientData fPrintsWithSheet="0"/>
  </xdr:twoCellAnchor>
  <xdr:twoCellAnchor editAs="oneCell">
    <xdr:from>
      <xdr:col>6</xdr:col>
      <xdr:colOff>3129189</xdr:colOff>
      <xdr:row>6</xdr:row>
      <xdr:rowOff>648</xdr:rowOff>
    </xdr:from>
    <xdr:to>
      <xdr:col>6</xdr:col>
      <xdr:colOff>3312069</xdr:colOff>
      <xdr:row>6</xdr:row>
      <xdr:rowOff>182232</xdr:rowOff>
    </xdr:to>
    <xdr:pic>
      <xdr:nvPicPr>
        <xdr:cNvPr id="29" name="Picture 28">
          <a:hlinkClick xmlns:r="http://schemas.openxmlformats.org/officeDocument/2006/relationships" r:id="rId4" tooltip="Go to completed balance sheet"/>
          <a:extLst>
            <a:ext uri="{FF2B5EF4-FFF2-40B4-BE49-F238E27FC236}">
              <a16:creationId xmlns:a16="http://schemas.microsoft.com/office/drawing/2014/main" id="{00000000-0008-0000-0200-00001D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221456" y="1207148"/>
          <a:ext cx="182880" cy="181584"/>
        </a:xfrm>
        <a:prstGeom prst="rect">
          <a:avLst/>
        </a:prstGeom>
      </xdr:spPr>
    </xdr:pic>
    <xdr:clientData fPrintsWithSheet="0"/>
  </xdr:twoCellAnchor>
  <xdr:twoCellAnchor editAs="oneCell">
    <xdr:from>
      <xdr:col>4</xdr:col>
      <xdr:colOff>914400</xdr:colOff>
      <xdr:row>1</xdr:row>
      <xdr:rowOff>47244</xdr:rowOff>
    </xdr:from>
    <xdr:to>
      <xdr:col>6</xdr:col>
      <xdr:colOff>1143381</xdr:colOff>
      <xdr:row>3</xdr:row>
      <xdr:rowOff>32004</xdr:rowOff>
    </xdr:to>
    <xdr:sp macro="[0]!PrintBS_Final" textlink="">
      <xdr:nvSpPr>
        <xdr:cNvPr id="28" name="Rectangle 27">
          <a:hlinkClick xmlns:r="http://schemas.openxmlformats.org/officeDocument/2006/relationships" r:id="rId5" tooltip="Go to General Info"/>
          <a:extLst>
            <a:ext uri="{FF2B5EF4-FFF2-40B4-BE49-F238E27FC236}">
              <a16:creationId xmlns:a16="http://schemas.microsoft.com/office/drawing/2014/main" id="{00000000-0008-0000-0200-00001C000000}"/>
            </a:ext>
          </a:extLst>
        </xdr:cNvPr>
        <xdr:cNvSpPr/>
      </xdr:nvSpPr>
      <xdr:spPr>
        <a:xfrm>
          <a:off x="9324975" y="304419"/>
          <a:ext cx="1591056" cy="365760"/>
        </a:xfrm>
        <a:prstGeom prst="rect">
          <a:avLst/>
        </a:prstGeom>
        <a:solidFill>
          <a:srgbClr val="F37321"/>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Go</a:t>
          </a:r>
          <a:r>
            <a:rPr lang="en-US" sz="1400" b="1" baseline="0"/>
            <a:t> to Gen Info</a:t>
          </a:r>
          <a:endParaRPr lang="en-US" sz="1400" b="1"/>
        </a:p>
      </xdr:txBody>
    </xdr:sp>
    <xdr:clientData fPrintsWithSheet="0"/>
  </xdr:twoCellAnchor>
  <xdr:twoCellAnchor>
    <xdr:from>
      <xdr:col>0</xdr:col>
      <xdr:colOff>28574</xdr:colOff>
      <xdr:row>1</xdr:row>
      <xdr:rowOff>38100</xdr:rowOff>
    </xdr:from>
    <xdr:to>
      <xdr:col>0</xdr:col>
      <xdr:colOff>2314574</xdr:colOff>
      <xdr:row>3</xdr:row>
      <xdr:rowOff>32004</xdr:rowOff>
    </xdr:to>
    <xdr:sp macro="[0]!PrintBS_Final" textlink="">
      <xdr:nvSpPr>
        <xdr:cNvPr id="31" name="Rectangle 30">
          <a:hlinkClick xmlns:r="http://schemas.openxmlformats.org/officeDocument/2006/relationships" r:id="rId6" tooltip="Go to Balance Sheet Simple Data Entry"/>
          <a:extLst>
            <a:ext uri="{FF2B5EF4-FFF2-40B4-BE49-F238E27FC236}">
              <a16:creationId xmlns:a16="http://schemas.microsoft.com/office/drawing/2014/main" id="{00000000-0008-0000-0200-00001F000000}"/>
            </a:ext>
          </a:extLst>
        </xdr:cNvPr>
        <xdr:cNvSpPr/>
      </xdr:nvSpPr>
      <xdr:spPr>
        <a:xfrm>
          <a:off x="28574" y="295275"/>
          <a:ext cx="2286000" cy="374904"/>
        </a:xfrm>
        <a:prstGeom prst="rect">
          <a:avLst/>
        </a:prstGeom>
        <a:solidFill>
          <a:srgbClr val="8CC05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5. Go</a:t>
          </a:r>
          <a:r>
            <a:rPr lang="en-US" sz="1400" b="1" baseline="0"/>
            <a:t> to </a:t>
          </a:r>
          <a:r>
            <a:rPr lang="en-US" sz="1400" b="1"/>
            <a:t>Final Balance</a:t>
          </a:r>
          <a:r>
            <a:rPr lang="en-US" sz="1400" b="1" baseline="0"/>
            <a:t> Sheet</a:t>
          </a:r>
          <a:endParaRPr lang="en-US" sz="1400" b="1"/>
        </a:p>
      </xdr:txBody>
    </xdr:sp>
    <xdr:clientData fPrintsWithSheet="0"/>
  </xdr:twoCellAnchor>
  <xdr:twoCellAnchor>
    <xdr:from>
      <xdr:col>2</xdr:col>
      <xdr:colOff>57149</xdr:colOff>
      <xdr:row>1</xdr:row>
      <xdr:rowOff>38100</xdr:rowOff>
    </xdr:from>
    <xdr:to>
      <xdr:col>3</xdr:col>
      <xdr:colOff>1928954</xdr:colOff>
      <xdr:row>3</xdr:row>
      <xdr:rowOff>32004</xdr:rowOff>
    </xdr:to>
    <xdr:sp macro="[0]!PrintBS_Final" textlink="">
      <xdr:nvSpPr>
        <xdr:cNvPr id="32" name="Rectangle 31">
          <a:hlinkClick xmlns:r="http://schemas.openxmlformats.org/officeDocument/2006/relationships" r:id="rId7" tooltip="Go to Balance Sheet Data Entry"/>
          <a:extLst>
            <a:ext uri="{FF2B5EF4-FFF2-40B4-BE49-F238E27FC236}">
              <a16:creationId xmlns:a16="http://schemas.microsoft.com/office/drawing/2014/main" id="{00000000-0008-0000-0200-000020000000}"/>
            </a:ext>
          </a:extLst>
        </xdr:cNvPr>
        <xdr:cNvSpPr/>
      </xdr:nvSpPr>
      <xdr:spPr>
        <a:xfrm>
          <a:off x="4807743" y="294085"/>
          <a:ext cx="2139696" cy="374904"/>
        </a:xfrm>
        <a:prstGeom prst="rect">
          <a:avLst/>
        </a:prstGeom>
        <a:solidFill>
          <a:srgbClr val="8CC05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3. Go</a:t>
          </a:r>
          <a:r>
            <a:rPr lang="en-US" sz="1400" b="1" baseline="0"/>
            <a:t> to </a:t>
          </a:r>
          <a:r>
            <a:rPr lang="en-US" sz="1400" b="1"/>
            <a:t>Liability Entry</a:t>
          </a:r>
        </a:p>
      </xdr:txBody>
    </xdr:sp>
    <xdr:clientData fPrintsWithSheet="0"/>
  </xdr:twoCellAnchor>
  <xdr:twoCellAnchor>
    <xdr:from>
      <xdr:col>3</xdr:col>
      <xdr:colOff>2026443</xdr:colOff>
      <xdr:row>1</xdr:row>
      <xdr:rowOff>38100</xdr:rowOff>
    </xdr:from>
    <xdr:to>
      <xdr:col>4</xdr:col>
      <xdr:colOff>612124</xdr:colOff>
      <xdr:row>3</xdr:row>
      <xdr:rowOff>32004</xdr:rowOff>
    </xdr:to>
    <xdr:sp macro="[0]!PrintBS_Final" textlink="">
      <xdr:nvSpPr>
        <xdr:cNvPr id="33" name="Rectangle 32">
          <a:hlinkClick xmlns:r="http://schemas.openxmlformats.org/officeDocument/2006/relationships" r:id="rId8" tooltip="Go to Balance Sheet Data Entry"/>
          <a:extLst>
            <a:ext uri="{FF2B5EF4-FFF2-40B4-BE49-F238E27FC236}">
              <a16:creationId xmlns:a16="http://schemas.microsoft.com/office/drawing/2014/main" id="{00000000-0008-0000-0200-000021000000}"/>
            </a:ext>
          </a:extLst>
        </xdr:cNvPr>
        <xdr:cNvSpPr/>
      </xdr:nvSpPr>
      <xdr:spPr>
        <a:xfrm>
          <a:off x="7044928" y="294085"/>
          <a:ext cx="2139696" cy="374904"/>
        </a:xfrm>
        <a:prstGeom prst="rect">
          <a:avLst/>
        </a:prstGeom>
        <a:solidFill>
          <a:srgbClr val="8CC05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4. Go</a:t>
          </a:r>
          <a:r>
            <a:rPr lang="en-US" sz="1400" b="1" baseline="0"/>
            <a:t> to </a:t>
          </a:r>
          <a:r>
            <a:rPr lang="en-US" sz="1400" b="1"/>
            <a:t>Loan </a:t>
          </a:r>
          <a:r>
            <a:rPr lang="en-US" sz="1400" b="1" baseline="0"/>
            <a:t>Entry</a:t>
          </a:r>
          <a:endParaRPr lang="en-US" sz="1400" b="1"/>
        </a:p>
      </xdr:txBody>
    </xdr:sp>
    <xdr:clientData fPrintsWithSheet="0"/>
  </xdr:twoCellAnchor>
  <xdr:twoCellAnchor editAs="oneCell">
    <xdr:from>
      <xdr:col>0</xdr:col>
      <xdr:colOff>3129643</xdr:colOff>
      <xdr:row>13</xdr:row>
      <xdr:rowOff>1</xdr:rowOff>
    </xdr:from>
    <xdr:to>
      <xdr:col>0</xdr:col>
      <xdr:colOff>3312523</xdr:colOff>
      <xdr:row>13</xdr:row>
      <xdr:rowOff>182881</xdr:rowOff>
    </xdr:to>
    <xdr:pic>
      <xdr:nvPicPr>
        <xdr:cNvPr id="34" name="Picture 33">
          <a:hlinkClick xmlns:r="http://schemas.openxmlformats.org/officeDocument/2006/relationships" r:id="rId9" tooltip="Go to completed balance sheet"/>
          <a:extLst>
            <a:ext uri="{FF2B5EF4-FFF2-40B4-BE49-F238E27FC236}">
              <a16:creationId xmlns:a16="http://schemas.microsoft.com/office/drawing/2014/main" id="{00000000-0008-0000-0200-00002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9643" y="2540001"/>
          <a:ext cx="182880" cy="182880"/>
        </a:xfrm>
        <a:prstGeom prst="rect">
          <a:avLst/>
        </a:prstGeom>
      </xdr:spPr>
    </xdr:pic>
    <xdr:clientData fPrintsWithSheet="0"/>
  </xdr:twoCellAnchor>
  <xdr:twoCellAnchor editAs="oneCell">
    <xdr:from>
      <xdr:col>0</xdr:col>
      <xdr:colOff>3129643</xdr:colOff>
      <xdr:row>20</xdr:row>
      <xdr:rowOff>1</xdr:rowOff>
    </xdr:from>
    <xdr:to>
      <xdr:col>0</xdr:col>
      <xdr:colOff>3312523</xdr:colOff>
      <xdr:row>20</xdr:row>
      <xdr:rowOff>182881</xdr:rowOff>
    </xdr:to>
    <xdr:pic>
      <xdr:nvPicPr>
        <xdr:cNvPr id="35" name="Picture 34">
          <a:hlinkClick xmlns:r="http://schemas.openxmlformats.org/officeDocument/2006/relationships" r:id="rId10" tooltip="Go to completed balance sheet"/>
          <a:extLst>
            <a:ext uri="{FF2B5EF4-FFF2-40B4-BE49-F238E27FC236}">
              <a16:creationId xmlns:a16="http://schemas.microsoft.com/office/drawing/2014/main" id="{00000000-0008-0000-0200-00002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9643" y="3873501"/>
          <a:ext cx="182880" cy="182880"/>
        </a:xfrm>
        <a:prstGeom prst="rect">
          <a:avLst/>
        </a:prstGeom>
      </xdr:spPr>
    </xdr:pic>
    <xdr:clientData fPrintsWithSheet="0"/>
  </xdr:twoCellAnchor>
  <xdr:twoCellAnchor editAs="oneCell">
    <xdr:from>
      <xdr:col>0</xdr:col>
      <xdr:colOff>3129643</xdr:colOff>
      <xdr:row>27</xdr:row>
      <xdr:rowOff>1</xdr:rowOff>
    </xdr:from>
    <xdr:to>
      <xdr:col>0</xdr:col>
      <xdr:colOff>3312523</xdr:colOff>
      <xdr:row>27</xdr:row>
      <xdr:rowOff>182881</xdr:rowOff>
    </xdr:to>
    <xdr:pic>
      <xdr:nvPicPr>
        <xdr:cNvPr id="36" name="Picture 35">
          <a:hlinkClick xmlns:r="http://schemas.openxmlformats.org/officeDocument/2006/relationships" r:id="rId11" tooltip="Go to completed balance sheet"/>
          <a:extLst>
            <a:ext uri="{FF2B5EF4-FFF2-40B4-BE49-F238E27FC236}">
              <a16:creationId xmlns:a16="http://schemas.microsoft.com/office/drawing/2014/main" id="{00000000-0008-0000-0200-00002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9643" y="5207001"/>
          <a:ext cx="182880" cy="182880"/>
        </a:xfrm>
        <a:prstGeom prst="rect">
          <a:avLst/>
        </a:prstGeom>
      </xdr:spPr>
    </xdr:pic>
    <xdr:clientData fPrintsWithSheet="0"/>
  </xdr:twoCellAnchor>
  <xdr:twoCellAnchor editAs="oneCell">
    <xdr:from>
      <xdr:col>0</xdr:col>
      <xdr:colOff>3129643</xdr:colOff>
      <xdr:row>34</xdr:row>
      <xdr:rowOff>1</xdr:rowOff>
    </xdr:from>
    <xdr:to>
      <xdr:col>0</xdr:col>
      <xdr:colOff>3312523</xdr:colOff>
      <xdr:row>34</xdr:row>
      <xdr:rowOff>182881</xdr:rowOff>
    </xdr:to>
    <xdr:pic>
      <xdr:nvPicPr>
        <xdr:cNvPr id="37" name="Picture 36">
          <a:hlinkClick xmlns:r="http://schemas.openxmlformats.org/officeDocument/2006/relationships" r:id="rId12" tooltip="Go to completed balance sheet"/>
          <a:extLst>
            <a:ext uri="{FF2B5EF4-FFF2-40B4-BE49-F238E27FC236}">
              <a16:creationId xmlns:a16="http://schemas.microsoft.com/office/drawing/2014/main" id="{00000000-0008-0000-0200-00002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9643" y="6540501"/>
          <a:ext cx="182880" cy="182880"/>
        </a:xfrm>
        <a:prstGeom prst="rect">
          <a:avLst/>
        </a:prstGeom>
      </xdr:spPr>
    </xdr:pic>
    <xdr:clientData fPrintsWithSheet="0"/>
  </xdr:twoCellAnchor>
  <xdr:twoCellAnchor editAs="oneCell">
    <xdr:from>
      <xdr:col>0</xdr:col>
      <xdr:colOff>3129643</xdr:colOff>
      <xdr:row>41</xdr:row>
      <xdr:rowOff>1</xdr:rowOff>
    </xdr:from>
    <xdr:to>
      <xdr:col>0</xdr:col>
      <xdr:colOff>3312523</xdr:colOff>
      <xdr:row>41</xdr:row>
      <xdr:rowOff>182881</xdr:rowOff>
    </xdr:to>
    <xdr:pic>
      <xdr:nvPicPr>
        <xdr:cNvPr id="38" name="Picture 37">
          <a:hlinkClick xmlns:r="http://schemas.openxmlformats.org/officeDocument/2006/relationships" r:id="rId13" tooltip="Go to completed balance sheet"/>
          <a:extLst>
            <a:ext uri="{FF2B5EF4-FFF2-40B4-BE49-F238E27FC236}">
              <a16:creationId xmlns:a16="http://schemas.microsoft.com/office/drawing/2014/main" id="{00000000-0008-0000-0200-00002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9643" y="7874001"/>
          <a:ext cx="182880" cy="182880"/>
        </a:xfrm>
        <a:prstGeom prst="rect">
          <a:avLst/>
        </a:prstGeom>
      </xdr:spPr>
    </xdr:pic>
    <xdr:clientData fPrintsWithSheet="0"/>
  </xdr:twoCellAnchor>
  <xdr:twoCellAnchor editAs="oneCell">
    <xdr:from>
      <xdr:col>3</xdr:col>
      <xdr:colOff>3122841</xdr:colOff>
      <xdr:row>13</xdr:row>
      <xdr:rowOff>0</xdr:rowOff>
    </xdr:from>
    <xdr:to>
      <xdr:col>3</xdr:col>
      <xdr:colOff>3304425</xdr:colOff>
      <xdr:row>13</xdr:row>
      <xdr:rowOff>181584</xdr:rowOff>
    </xdr:to>
    <xdr:pic>
      <xdr:nvPicPr>
        <xdr:cNvPr id="39" name="Picture 38">
          <a:hlinkClick xmlns:r="http://schemas.openxmlformats.org/officeDocument/2006/relationships" r:id="rId14" tooltip="Go to completed balance sheet"/>
          <a:extLst>
            <a:ext uri="{FF2B5EF4-FFF2-40B4-BE49-F238E27FC236}">
              <a16:creationId xmlns:a16="http://schemas.microsoft.com/office/drawing/2014/main" id="{00000000-0008-0000-0200-00002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99616" y="2543175"/>
          <a:ext cx="181584" cy="181584"/>
        </a:xfrm>
        <a:prstGeom prst="rect">
          <a:avLst/>
        </a:prstGeom>
      </xdr:spPr>
    </xdr:pic>
    <xdr:clientData fPrintsWithSheet="0"/>
  </xdr:twoCellAnchor>
  <xdr:twoCellAnchor editAs="oneCell">
    <xdr:from>
      <xdr:col>3</xdr:col>
      <xdr:colOff>3122841</xdr:colOff>
      <xdr:row>27</xdr:row>
      <xdr:rowOff>0</xdr:rowOff>
    </xdr:from>
    <xdr:to>
      <xdr:col>3</xdr:col>
      <xdr:colOff>3304425</xdr:colOff>
      <xdr:row>27</xdr:row>
      <xdr:rowOff>181584</xdr:rowOff>
    </xdr:to>
    <xdr:pic>
      <xdr:nvPicPr>
        <xdr:cNvPr id="40" name="Picture 39">
          <a:hlinkClick xmlns:r="http://schemas.openxmlformats.org/officeDocument/2006/relationships" r:id="rId15" tooltip="Go to completed balance sheet"/>
          <a:extLst>
            <a:ext uri="{FF2B5EF4-FFF2-40B4-BE49-F238E27FC236}">
              <a16:creationId xmlns:a16="http://schemas.microsoft.com/office/drawing/2014/main" id="{00000000-0008-0000-0200-00002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99616" y="3876675"/>
          <a:ext cx="181584" cy="181584"/>
        </a:xfrm>
        <a:prstGeom prst="rect">
          <a:avLst/>
        </a:prstGeom>
      </xdr:spPr>
    </xdr:pic>
    <xdr:clientData fPrintsWithSheet="0"/>
  </xdr:twoCellAnchor>
  <xdr:twoCellAnchor editAs="oneCell">
    <xdr:from>
      <xdr:col>3</xdr:col>
      <xdr:colOff>3122841</xdr:colOff>
      <xdr:row>34</xdr:row>
      <xdr:rowOff>0</xdr:rowOff>
    </xdr:from>
    <xdr:to>
      <xdr:col>3</xdr:col>
      <xdr:colOff>3304425</xdr:colOff>
      <xdr:row>34</xdr:row>
      <xdr:rowOff>181584</xdr:rowOff>
    </xdr:to>
    <xdr:pic>
      <xdr:nvPicPr>
        <xdr:cNvPr id="41" name="Picture 40">
          <a:hlinkClick xmlns:r="http://schemas.openxmlformats.org/officeDocument/2006/relationships" r:id="rId16" tooltip="Go to completed balance sheet"/>
          <a:extLst>
            <a:ext uri="{FF2B5EF4-FFF2-40B4-BE49-F238E27FC236}">
              <a16:creationId xmlns:a16="http://schemas.microsoft.com/office/drawing/2014/main" id="{00000000-0008-0000-0200-00002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99616" y="5210175"/>
          <a:ext cx="181584" cy="181584"/>
        </a:xfrm>
        <a:prstGeom prst="rect">
          <a:avLst/>
        </a:prstGeom>
      </xdr:spPr>
    </xdr:pic>
    <xdr:clientData fPrintsWithSheet="0"/>
  </xdr:twoCellAnchor>
  <xdr:twoCellAnchor editAs="oneCell">
    <xdr:from>
      <xdr:col>3</xdr:col>
      <xdr:colOff>3122841</xdr:colOff>
      <xdr:row>41</xdr:row>
      <xdr:rowOff>0</xdr:rowOff>
    </xdr:from>
    <xdr:to>
      <xdr:col>3</xdr:col>
      <xdr:colOff>3304425</xdr:colOff>
      <xdr:row>41</xdr:row>
      <xdr:rowOff>181584</xdr:rowOff>
    </xdr:to>
    <xdr:pic>
      <xdr:nvPicPr>
        <xdr:cNvPr id="42" name="Picture 41">
          <a:hlinkClick xmlns:r="http://schemas.openxmlformats.org/officeDocument/2006/relationships" r:id="rId17" tooltip="Go to completed balance sheet"/>
          <a:extLst>
            <a:ext uri="{FF2B5EF4-FFF2-40B4-BE49-F238E27FC236}">
              <a16:creationId xmlns:a16="http://schemas.microsoft.com/office/drawing/2014/main" id="{00000000-0008-0000-0200-00002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99616" y="6543675"/>
          <a:ext cx="181584" cy="181584"/>
        </a:xfrm>
        <a:prstGeom prst="rect">
          <a:avLst/>
        </a:prstGeom>
      </xdr:spPr>
    </xdr:pic>
    <xdr:clientData fPrintsWithSheet="0"/>
  </xdr:twoCellAnchor>
  <xdr:twoCellAnchor editAs="oneCell">
    <xdr:from>
      <xdr:col>3</xdr:col>
      <xdr:colOff>3122841</xdr:colOff>
      <xdr:row>48</xdr:row>
      <xdr:rowOff>0</xdr:rowOff>
    </xdr:from>
    <xdr:to>
      <xdr:col>3</xdr:col>
      <xdr:colOff>3304425</xdr:colOff>
      <xdr:row>48</xdr:row>
      <xdr:rowOff>181584</xdr:rowOff>
    </xdr:to>
    <xdr:pic>
      <xdr:nvPicPr>
        <xdr:cNvPr id="43" name="Picture 42">
          <a:hlinkClick xmlns:r="http://schemas.openxmlformats.org/officeDocument/2006/relationships" r:id="rId18" tooltip="Go to completed balance sheet"/>
          <a:extLst>
            <a:ext uri="{FF2B5EF4-FFF2-40B4-BE49-F238E27FC236}">
              <a16:creationId xmlns:a16="http://schemas.microsoft.com/office/drawing/2014/main" id="{00000000-0008-0000-0200-00002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99616" y="7877175"/>
          <a:ext cx="181584" cy="181584"/>
        </a:xfrm>
        <a:prstGeom prst="rect">
          <a:avLst/>
        </a:prstGeom>
      </xdr:spPr>
    </xdr:pic>
    <xdr:clientData fPrintsWithSheet="0"/>
  </xdr:twoCellAnchor>
  <xdr:twoCellAnchor editAs="oneCell">
    <xdr:from>
      <xdr:col>3</xdr:col>
      <xdr:colOff>3122841</xdr:colOff>
      <xdr:row>55</xdr:row>
      <xdr:rowOff>0</xdr:rowOff>
    </xdr:from>
    <xdr:to>
      <xdr:col>3</xdr:col>
      <xdr:colOff>3304425</xdr:colOff>
      <xdr:row>55</xdr:row>
      <xdr:rowOff>181584</xdr:rowOff>
    </xdr:to>
    <xdr:pic>
      <xdr:nvPicPr>
        <xdr:cNvPr id="44" name="Picture 43">
          <a:hlinkClick xmlns:r="http://schemas.openxmlformats.org/officeDocument/2006/relationships" r:id="rId19" tooltip="Go to completed balance sheet"/>
          <a:extLst>
            <a:ext uri="{FF2B5EF4-FFF2-40B4-BE49-F238E27FC236}">
              <a16:creationId xmlns:a16="http://schemas.microsoft.com/office/drawing/2014/main" id="{00000000-0008-0000-0200-00002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99616" y="9210675"/>
          <a:ext cx="181584" cy="181584"/>
        </a:xfrm>
        <a:prstGeom prst="rect">
          <a:avLst/>
        </a:prstGeom>
      </xdr:spPr>
    </xdr:pic>
    <xdr:clientData fPrintsWithSheet="0"/>
  </xdr:twoCellAnchor>
  <xdr:twoCellAnchor editAs="oneCell">
    <xdr:from>
      <xdr:col>6</xdr:col>
      <xdr:colOff>3129189</xdr:colOff>
      <xdr:row>13</xdr:row>
      <xdr:rowOff>0</xdr:rowOff>
    </xdr:from>
    <xdr:to>
      <xdr:col>6</xdr:col>
      <xdr:colOff>3312069</xdr:colOff>
      <xdr:row>13</xdr:row>
      <xdr:rowOff>181584</xdr:rowOff>
    </xdr:to>
    <xdr:pic>
      <xdr:nvPicPr>
        <xdr:cNvPr id="45" name="Picture 44">
          <a:hlinkClick xmlns:r="http://schemas.openxmlformats.org/officeDocument/2006/relationships" r:id="rId20" tooltip="Go to completed balance sheet"/>
          <a:extLst>
            <a:ext uri="{FF2B5EF4-FFF2-40B4-BE49-F238E27FC236}">
              <a16:creationId xmlns:a16="http://schemas.microsoft.com/office/drawing/2014/main" id="{00000000-0008-0000-0200-00002D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221456" y="2540000"/>
          <a:ext cx="182880" cy="181584"/>
        </a:xfrm>
        <a:prstGeom prst="rect">
          <a:avLst/>
        </a:prstGeom>
      </xdr:spPr>
    </xdr:pic>
    <xdr:clientData fPrintsWithSheet="0"/>
  </xdr:twoCellAnchor>
  <xdr:twoCellAnchor editAs="oneCell">
    <xdr:from>
      <xdr:col>6</xdr:col>
      <xdr:colOff>3129189</xdr:colOff>
      <xdr:row>20</xdr:row>
      <xdr:rowOff>0</xdr:rowOff>
    </xdr:from>
    <xdr:to>
      <xdr:col>6</xdr:col>
      <xdr:colOff>3312069</xdr:colOff>
      <xdr:row>20</xdr:row>
      <xdr:rowOff>181584</xdr:rowOff>
    </xdr:to>
    <xdr:pic>
      <xdr:nvPicPr>
        <xdr:cNvPr id="46" name="Picture 45">
          <a:hlinkClick xmlns:r="http://schemas.openxmlformats.org/officeDocument/2006/relationships" r:id="rId21" tooltip="Go to completed balance sheet"/>
          <a:extLst>
            <a:ext uri="{FF2B5EF4-FFF2-40B4-BE49-F238E27FC236}">
              <a16:creationId xmlns:a16="http://schemas.microsoft.com/office/drawing/2014/main" id="{00000000-0008-0000-0200-00002E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221456" y="3873500"/>
          <a:ext cx="182880" cy="181584"/>
        </a:xfrm>
        <a:prstGeom prst="rect">
          <a:avLst/>
        </a:prstGeom>
      </xdr:spPr>
    </xdr:pic>
    <xdr:clientData fPrintsWithSheet="0"/>
  </xdr:twoCellAnchor>
  <xdr:twoCellAnchor editAs="oneCell">
    <xdr:from>
      <xdr:col>6</xdr:col>
      <xdr:colOff>3129189</xdr:colOff>
      <xdr:row>27</xdr:row>
      <xdr:rowOff>0</xdr:rowOff>
    </xdr:from>
    <xdr:to>
      <xdr:col>6</xdr:col>
      <xdr:colOff>3312069</xdr:colOff>
      <xdr:row>27</xdr:row>
      <xdr:rowOff>181584</xdr:rowOff>
    </xdr:to>
    <xdr:pic>
      <xdr:nvPicPr>
        <xdr:cNvPr id="47" name="Picture 46">
          <a:hlinkClick xmlns:r="http://schemas.openxmlformats.org/officeDocument/2006/relationships" r:id="rId22" tooltip="Go to completed balance sheet"/>
          <a:extLst>
            <a:ext uri="{FF2B5EF4-FFF2-40B4-BE49-F238E27FC236}">
              <a16:creationId xmlns:a16="http://schemas.microsoft.com/office/drawing/2014/main" id="{00000000-0008-0000-0200-00002F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221456" y="5207000"/>
          <a:ext cx="182880" cy="181584"/>
        </a:xfrm>
        <a:prstGeom prst="rect">
          <a:avLst/>
        </a:prstGeom>
      </xdr:spPr>
    </xdr:pic>
    <xdr:clientData fPrintsWithSheet="0"/>
  </xdr:twoCellAnchor>
  <xdr:twoCellAnchor editAs="oneCell">
    <xdr:from>
      <xdr:col>6</xdr:col>
      <xdr:colOff>3129189</xdr:colOff>
      <xdr:row>34</xdr:row>
      <xdr:rowOff>0</xdr:rowOff>
    </xdr:from>
    <xdr:to>
      <xdr:col>6</xdr:col>
      <xdr:colOff>3312069</xdr:colOff>
      <xdr:row>34</xdr:row>
      <xdr:rowOff>181584</xdr:rowOff>
    </xdr:to>
    <xdr:pic>
      <xdr:nvPicPr>
        <xdr:cNvPr id="48" name="Picture 47">
          <a:hlinkClick xmlns:r="http://schemas.openxmlformats.org/officeDocument/2006/relationships" r:id="rId23" tooltip="Go to completed balance sheet"/>
          <a:extLst>
            <a:ext uri="{FF2B5EF4-FFF2-40B4-BE49-F238E27FC236}">
              <a16:creationId xmlns:a16="http://schemas.microsoft.com/office/drawing/2014/main" id="{00000000-0008-0000-0200-000030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221456" y="6540500"/>
          <a:ext cx="182880" cy="181584"/>
        </a:xfrm>
        <a:prstGeom prst="rect">
          <a:avLst/>
        </a:prstGeom>
      </xdr:spPr>
    </xdr:pic>
    <xdr:clientData fPrintsWithSheet="0"/>
  </xdr:twoCellAnchor>
  <xdr:twoCellAnchor editAs="oneCell">
    <xdr:from>
      <xdr:col>6</xdr:col>
      <xdr:colOff>3129189</xdr:colOff>
      <xdr:row>41</xdr:row>
      <xdr:rowOff>0</xdr:rowOff>
    </xdr:from>
    <xdr:to>
      <xdr:col>6</xdr:col>
      <xdr:colOff>3312069</xdr:colOff>
      <xdr:row>41</xdr:row>
      <xdr:rowOff>181584</xdr:rowOff>
    </xdr:to>
    <xdr:pic>
      <xdr:nvPicPr>
        <xdr:cNvPr id="49" name="Picture 48">
          <a:hlinkClick xmlns:r="http://schemas.openxmlformats.org/officeDocument/2006/relationships" r:id="rId24" tooltip="Go to completed balance sheet"/>
          <a:extLst>
            <a:ext uri="{FF2B5EF4-FFF2-40B4-BE49-F238E27FC236}">
              <a16:creationId xmlns:a16="http://schemas.microsoft.com/office/drawing/2014/main" id="{00000000-0008-0000-0200-000031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221456" y="7874000"/>
          <a:ext cx="182880" cy="181584"/>
        </a:xfrm>
        <a:prstGeom prst="rect">
          <a:avLst/>
        </a:prstGeom>
      </xdr:spPr>
    </xdr:pic>
    <xdr:clientData fPrintsWithSheet="0"/>
  </xdr:twoCellAnchor>
  <xdr:twoCellAnchor editAs="oneCell">
    <xdr:from>
      <xdr:col>6</xdr:col>
      <xdr:colOff>3129189</xdr:colOff>
      <xdr:row>48</xdr:row>
      <xdr:rowOff>0</xdr:rowOff>
    </xdr:from>
    <xdr:to>
      <xdr:col>6</xdr:col>
      <xdr:colOff>3312069</xdr:colOff>
      <xdr:row>48</xdr:row>
      <xdr:rowOff>181584</xdr:rowOff>
    </xdr:to>
    <xdr:pic>
      <xdr:nvPicPr>
        <xdr:cNvPr id="50" name="Picture 49">
          <a:hlinkClick xmlns:r="http://schemas.openxmlformats.org/officeDocument/2006/relationships" r:id="rId25" tooltip="Go to completed balance sheet"/>
          <a:extLst>
            <a:ext uri="{FF2B5EF4-FFF2-40B4-BE49-F238E27FC236}">
              <a16:creationId xmlns:a16="http://schemas.microsoft.com/office/drawing/2014/main" id="{00000000-0008-0000-0200-000032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221456" y="9207500"/>
          <a:ext cx="182880" cy="181584"/>
        </a:xfrm>
        <a:prstGeom prst="rect">
          <a:avLst/>
        </a:prstGeom>
      </xdr:spPr>
    </xdr:pic>
    <xdr:clientData fPrintsWithSheet="0"/>
  </xdr:twoCellAnchor>
  <xdr:twoCellAnchor editAs="oneCell">
    <xdr:from>
      <xdr:col>6</xdr:col>
      <xdr:colOff>3129189</xdr:colOff>
      <xdr:row>55</xdr:row>
      <xdr:rowOff>0</xdr:rowOff>
    </xdr:from>
    <xdr:to>
      <xdr:col>6</xdr:col>
      <xdr:colOff>3312069</xdr:colOff>
      <xdr:row>55</xdr:row>
      <xdr:rowOff>181584</xdr:rowOff>
    </xdr:to>
    <xdr:pic>
      <xdr:nvPicPr>
        <xdr:cNvPr id="51" name="Picture 50">
          <a:hlinkClick xmlns:r="http://schemas.openxmlformats.org/officeDocument/2006/relationships" r:id="rId26" tooltip="Go to completed balance sheet"/>
          <a:extLst>
            <a:ext uri="{FF2B5EF4-FFF2-40B4-BE49-F238E27FC236}">
              <a16:creationId xmlns:a16="http://schemas.microsoft.com/office/drawing/2014/main" id="{00000000-0008-0000-0200-000033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221456" y="10541000"/>
          <a:ext cx="182880" cy="181584"/>
        </a:xfrm>
        <a:prstGeom prst="rect">
          <a:avLst/>
        </a:prstGeom>
      </xdr:spPr>
    </xdr:pic>
    <xdr:clientData fPrintsWithSheet="0"/>
  </xdr:twoCellAnchor>
  <xdr:twoCellAnchor editAs="oneCell">
    <xdr:from>
      <xdr:col>6</xdr:col>
      <xdr:colOff>3129189</xdr:colOff>
      <xdr:row>62</xdr:row>
      <xdr:rowOff>0</xdr:rowOff>
    </xdr:from>
    <xdr:to>
      <xdr:col>6</xdr:col>
      <xdr:colOff>3312069</xdr:colOff>
      <xdr:row>62</xdr:row>
      <xdr:rowOff>181584</xdr:rowOff>
    </xdr:to>
    <xdr:pic>
      <xdr:nvPicPr>
        <xdr:cNvPr id="52" name="Picture 51">
          <a:hlinkClick xmlns:r="http://schemas.openxmlformats.org/officeDocument/2006/relationships" r:id="rId27" tooltip="Go to completed balance sheet"/>
          <a:extLst>
            <a:ext uri="{FF2B5EF4-FFF2-40B4-BE49-F238E27FC236}">
              <a16:creationId xmlns:a16="http://schemas.microsoft.com/office/drawing/2014/main" id="{00000000-0008-0000-0200-000034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221456" y="11874500"/>
          <a:ext cx="182880" cy="181584"/>
        </a:xfrm>
        <a:prstGeom prst="rect">
          <a:avLst/>
        </a:prstGeom>
      </xdr:spPr>
    </xdr:pic>
    <xdr:clientData fPrintsWithSheet="0"/>
  </xdr:twoCellAnchor>
  <xdr:twoCellAnchor>
    <xdr:from>
      <xdr:col>0</xdr:col>
      <xdr:colOff>2586566</xdr:colOff>
      <xdr:row>1</xdr:row>
      <xdr:rowOff>33867</xdr:rowOff>
    </xdr:from>
    <xdr:to>
      <xdr:col>1</xdr:col>
      <xdr:colOff>1172246</xdr:colOff>
      <xdr:row>3</xdr:row>
      <xdr:rowOff>27771</xdr:rowOff>
    </xdr:to>
    <xdr:sp macro="[0]!PrintBS_Final" textlink="">
      <xdr:nvSpPr>
        <xdr:cNvPr id="30" name="Rectangle 29">
          <a:hlinkClick xmlns:r="http://schemas.openxmlformats.org/officeDocument/2006/relationships" r:id="rId28" tooltip="Go to Balance Sheet Data Entry"/>
          <a:extLst>
            <a:ext uri="{FF2B5EF4-FFF2-40B4-BE49-F238E27FC236}">
              <a16:creationId xmlns:a16="http://schemas.microsoft.com/office/drawing/2014/main" id="{00000000-0008-0000-0200-00001E000000}"/>
            </a:ext>
          </a:extLst>
        </xdr:cNvPr>
        <xdr:cNvSpPr/>
      </xdr:nvSpPr>
      <xdr:spPr>
        <a:xfrm>
          <a:off x="2586566" y="287867"/>
          <a:ext cx="2162847" cy="374904"/>
        </a:xfrm>
        <a:prstGeom prst="rect">
          <a:avLst/>
        </a:prstGeom>
        <a:solidFill>
          <a:srgbClr val="8CC05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2. Go</a:t>
          </a:r>
          <a:r>
            <a:rPr lang="en-US" sz="1400" b="1" baseline="0"/>
            <a:t> to </a:t>
          </a:r>
          <a:r>
            <a:rPr lang="en-US" sz="1400" b="1"/>
            <a:t>Inventory Entry</a:t>
          </a:r>
        </a:p>
      </xdr:txBody>
    </xdr:sp>
    <xdr:clientData fPrintsWithSheet="0"/>
  </xdr:twoCellAnchor>
  <xdr:oneCellAnchor>
    <xdr:from>
      <xdr:col>3</xdr:col>
      <xdr:colOff>3122841</xdr:colOff>
      <xdr:row>20</xdr:row>
      <xdr:rowOff>0</xdr:rowOff>
    </xdr:from>
    <xdr:ext cx="181584" cy="181584"/>
    <xdr:pic>
      <xdr:nvPicPr>
        <xdr:cNvPr id="53" name="Picture 52">
          <a:hlinkClick xmlns:r="http://schemas.openxmlformats.org/officeDocument/2006/relationships" r:id="rId14" tooltip="Go to completed balance sheet"/>
          <a:extLst>
            <a:ext uri="{FF2B5EF4-FFF2-40B4-BE49-F238E27FC236}">
              <a16:creationId xmlns:a16="http://schemas.microsoft.com/office/drawing/2014/main" id="{00000000-0008-0000-0200-00003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99616" y="2543175"/>
          <a:ext cx="181584" cy="181584"/>
        </a:xfrm>
        <a:prstGeom prst="rect">
          <a:avLst/>
        </a:prstGeom>
      </xdr:spPr>
    </xdr:pic>
    <xdr:clientData fPrintsWithSheet="0"/>
  </xdr:oneCellAnchor>
</xdr:wsDr>
</file>

<file path=xl/drawings/drawing5.xml><?xml version="1.0" encoding="utf-8"?>
<xdr:wsDr xmlns:xdr="http://schemas.openxmlformats.org/drawingml/2006/spreadsheetDrawing" xmlns:a="http://schemas.openxmlformats.org/drawingml/2006/main">
  <xdr:twoCellAnchor editAs="oneCell">
    <xdr:from>
      <xdr:col>0</xdr:col>
      <xdr:colOff>3129643</xdr:colOff>
      <xdr:row>5</xdr:row>
      <xdr:rowOff>188427</xdr:rowOff>
    </xdr:from>
    <xdr:to>
      <xdr:col>0</xdr:col>
      <xdr:colOff>3312523</xdr:colOff>
      <xdr:row>6</xdr:row>
      <xdr:rowOff>180807</xdr:rowOff>
    </xdr:to>
    <xdr:pic>
      <xdr:nvPicPr>
        <xdr:cNvPr id="30" name="Picture 29">
          <a:hlinkClick xmlns:r="http://schemas.openxmlformats.org/officeDocument/2006/relationships" r:id="rId1" tooltip="Go to completed balance sheet"/>
          <a:extLst>
            <a:ext uri="{FF2B5EF4-FFF2-40B4-BE49-F238E27FC236}">
              <a16:creationId xmlns:a16="http://schemas.microsoft.com/office/drawing/2014/main" id="{00000000-0008-0000-0300-00001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9643" y="1204427"/>
          <a:ext cx="182880" cy="182880"/>
        </a:xfrm>
        <a:prstGeom prst="rect">
          <a:avLst/>
        </a:prstGeom>
      </xdr:spPr>
    </xdr:pic>
    <xdr:clientData fPrintsWithSheet="0"/>
  </xdr:twoCellAnchor>
  <xdr:twoCellAnchor editAs="oneCell">
    <xdr:from>
      <xdr:col>0</xdr:col>
      <xdr:colOff>2372260</xdr:colOff>
      <xdr:row>1</xdr:row>
      <xdr:rowOff>47245</xdr:rowOff>
    </xdr:from>
    <xdr:to>
      <xdr:col>1</xdr:col>
      <xdr:colOff>493041</xdr:colOff>
      <xdr:row>3</xdr:row>
      <xdr:rowOff>41149</xdr:rowOff>
    </xdr:to>
    <xdr:sp macro="[0]!PrintBS_Final" textlink="">
      <xdr:nvSpPr>
        <xdr:cNvPr id="33" name="Rectangle 32">
          <a:hlinkClick xmlns:r="http://schemas.openxmlformats.org/officeDocument/2006/relationships" r:id="rId3" tooltip="Go to General Info"/>
          <a:extLst>
            <a:ext uri="{FF2B5EF4-FFF2-40B4-BE49-F238E27FC236}">
              <a16:creationId xmlns:a16="http://schemas.microsoft.com/office/drawing/2014/main" id="{00000000-0008-0000-0300-000021000000}"/>
            </a:ext>
          </a:extLst>
        </xdr:cNvPr>
        <xdr:cNvSpPr/>
      </xdr:nvSpPr>
      <xdr:spPr>
        <a:xfrm>
          <a:off x="2372260" y="304420"/>
          <a:ext cx="1673606" cy="374904"/>
        </a:xfrm>
        <a:prstGeom prst="rect">
          <a:avLst/>
        </a:prstGeom>
        <a:solidFill>
          <a:srgbClr val="F37321"/>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Go</a:t>
          </a:r>
          <a:r>
            <a:rPr lang="en-US" sz="1400" b="1" baseline="0"/>
            <a:t> to Gen Info</a:t>
          </a:r>
          <a:endParaRPr lang="en-US" sz="1400" b="1"/>
        </a:p>
      </xdr:txBody>
    </xdr:sp>
    <xdr:clientData fPrintsWithSheet="0"/>
  </xdr:twoCellAnchor>
  <xdr:twoCellAnchor>
    <xdr:from>
      <xdr:col>0</xdr:col>
      <xdr:colOff>28574</xdr:colOff>
      <xdr:row>1</xdr:row>
      <xdr:rowOff>38100</xdr:rowOff>
    </xdr:from>
    <xdr:to>
      <xdr:col>0</xdr:col>
      <xdr:colOff>2314574</xdr:colOff>
      <xdr:row>3</xdr:row>
      <xdr:rowOff>32004</xdr:rowOff>
    </xdr:to>
    <xdr:sp macro="[0]!PrintBS_Final" textlink="">
      <xdr:nvSpPr>
        <xdr:cNvPr id="34" name="Rectangle 33">
          <a:hlinkClick xmlns:r="http://schemas.openxmlformats.org/officeDocument/2006/relationships" r:id="rId4" tooltip="Go to Balance Sheet Simple Data Entry"/>
          <a:extLst>
            <a:ext uri="{FF2B5EF4-FFF2-40B4-BE49-F238E27FC236}">
              <a16:creationId xmlns:a16="http://schemas.microsoft.com/office/drawing/2014/main" id="{00000000-0008-0000-0300-000022000000}"/>
            </a:ext>
          </a:extLst>
        </xdr:cNvPr>
        <xdr:cNvSpPr/>
      </xdr:nvSpPr>
      <xdr:spPr>
        <a:xfrm>
          <a:off x="28574" y="295275"/>
          <a:ext cx="2286000" cy="374904"/>
        </a:xfrm>
        <a:prstGeom prst="rect">
          <a:avLst/>
        </a:prstGeom>
        <a:solidFill>
          <a:srgbClr val="8CC05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5. Go</a:t>
          </a:r>
          <a:r>
            <a:rPr lang="en-US" sz="1400" b="1" baseline="0"/>
            <a:t> to </a:t>
          </a:r>
          <a:r>
            <a:rPr lang="en-US" sz="1400" b="1"/>
            <a:t>Final Balance</a:t>
          </a:r>
          <a:r>
            <a:rPr lang="en-US" sz="1400" b="1" baseline="0"/>
            <a:t> Sheet</a:t>
          </a:r>
          <a:endParaRPr lang="en-US" sz="1400" b="1"/>
        </a:p>
      </xdr:txBody>
    </xdr:sp>
    <xdr:clientData fPrintsWithSheet="0"/>
  </xdr:twoCellAnchor>
  <xdr:twoCellAnchor>
    <xdr:from>
      <xdr:col>0</xdr:col>
      <xdr:colOff>2207683</xdr:colOff>
      <xdr:row>3</xdr:row>
      <xdr:rowOff>114300</xdr:rowOff>
    </xdr:from>
    <xdr:to>
      <xdr:col>2</xdr:col>
      <xdr:colOff>181779</xdr:colOff>
      <xdr:row>5</xdr:row>
      <xdr:rowOff>108204</xdr:rowOff>
    </xdr:to>
    <xdr:sp macro="[0]!PrintBS_Final" textlink="">
      <xdr:nvSpPr>
        <xdr:cNvPr id="35" name="Rectangle 34">
          <a:hlinkClick xmlns:r="http://schemas.openxmlformats.org/officeDocument/2006/relationships" r:id="rId5" tooltip="Go to Balance Sheet Data Entry"/>
          <a:extLst>
            <a:ext uri="{FF2B5EF4-FFF2-40B4-BE49-F238E27FC236}">
              <a16:creationId xmlns:a16="http://schemas.microsoft.com/office/drawing/2014/main" id="{00000000-0008-0000-0300-000023000000}"/>
            </a:ext>
          </a:extLst>
        </xdr:cNvPr>
        <xdr:cNvSpPr/>
      </xdr:nvSpPr>
      <xdr:spPr>
        <a:xfrm>
          <a:off x="2207683" y="749300"/>
          <a:ext cx="2139696" cy="374904"/>
        </a:xfrm>
        <a:prstGeom prst="rect">
          <a:avLst/>
        </a:prstGeom>
        <a:solidFill>
          <a:srgbClr val="8CC05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3. Go</a:t>
          </a:r>
          <a:r>
            <a:rPr lang="en-US" sz="1400" b="1" baseline="0"/>
            <a:t> to </a:t>
          </a:r>
          <a:r>
            <a:rPr lang="en-US" sz="1400" b="1"/>
            <a:t>Liability Entry</a:t>
          </a:r>
        </a:p>
      </xdr:txBody>
    </xdr:sp>
    <xdr:clientData fPrintsWithSheet="0"/>
  </xdr:twoCellAnchor>
  <xdr:twoCellAnchor>
    <xdr:from>
      <xdr:col>2</xdr:col>
      <xdr:colOff>235745</xdr:colOff>
      <xdr:row>3</xdr:row>
      <xdr:rowOff>118533</xdr:rowOff>
    </xdr:from>
    <xdr:to>
      <xdr:col>4</xdr:col>
      <xdr:colOff>679859</xdr:colOff>
      <xdr:row>5</xdr:row>
      <xdr:rowOff>112437</xdr:rowOff>
    </xdr:to>
    <xdr:sp macro="[0]!PrintBS_Final" textlink="">
      <xdr:nvSpPr>
        <xdr:cNvPr id="36" name="Rectangle 35">
          <a:hlinkClick xmlns:r="http://schemas.openxmlformats.org/officeDocument/2006/relationships" r:id="rId6" tooltip="Go to Balance Sheet Data Entry"/>
          <a:extLst>
            <a:ext uri="{FF2B5EF4-FFF2-40B4-BE49-F238E27FC236}">
              <a16:creationId xmlns:a16="http://schemas.microsoft.com/office/drawing/2014/main" id="{00000000-0008-0000-0300-000024000000}"/>
            </a:ext>
          </a:extLst>
        </xdr:cNvPr>
        <xdr:cNvSpPr/>
      </xdr:nvSpPr>
      <xdr:spPr>
        <a:xfrm>
          <a:off x="4401345" y="753533"/>
          <a:ext cx="2162847" cy="374904"/>
        </a:xfrm>
        <a:prstGeom prst="rect">
          <a:avLst/>
        </a:prstGeom>
        <a:solidFill>
          <a:srgbClr val="8CC05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4. Go</a:t>
          </a:r>
          <a:r>
            <a:rPr lang="en-US" sz="1400" b="1" baseline="0"/>
            <a:t> to </a:t>
          </a:r>
          <a:r>
            <a:rPr lang="en-US" sz="1400" b="1"/>
            <a:t>Loan </a:t>
          </a:r>
          <a:r>
            <a:rPr lang="en-US" sz="1400" b="1" baseline="0"/>
            <a:t>Entry</a:t>
          </a:r>
          <a:endParaRPr lang="en-US" sz="1400" b="1"/>
        </a:p>
      </xdr:txBody>
    </xdr:sp>
    <xdr:clientData fPrintsWithSheet="0"/>
  </xdr:twoCellAnchor>
  <xdr:oneCellAnchor>
    <xdr:from>
      <xdr:col>0</xdr:col>
      <xdr:colOff>3129643</xdr:colOff>
      <xdr:row>16</xdr:row>
      <xdr:rowOff>188427</xdr:rowOff>
    </xdr:from>
    <xdr:ext cx="182880" cy="182880"/>
    <xdr:pic>
      <xdr:nvPicPr>
        <xdr:cNvPr id="37" name="Picture 36">
          <a:hlinkClick xmlns:r="http://schemas.openxmlformats.org/officeDocument/2006/relationships" r:id="rId7" tooltip="Go to completed balance sheet"/>
          <a:extLst>
            <a:ext uri="{FF2B5EF4-FFF2-40B4-BE49-F238E27FC236}">
              <a16:creationId xmlns:a16="http://schemas.microsoft.com/office/drawing/2014/main" id="{00000000-0008-0000-0300-00002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9643" y="1204427"/>
          <a:ext cx="182880" cy="182880"/>
        </a:xfrm>
        <a:prstGeom prst="rect">
          <a:avLst/>
        </a:prstGeom>
      </xdr:spPr>
    </xdr:pic>
    <xdr:clientData fPrintsWithSheet="0"/>
  </xdr:oneCellAnchor>
  <xdr:oneCellAnchor>
    <xdr:from>
      <xdr:col>0</xdr:col>
      <xdr:colOff>3129643</xdr:colOff>
      <xdr:row>27</xdr:row>
      <xdr:rowOff>188427</xdr:rowOff>
    </xdr:from>
    <xdr:ext cx="182880" cy="182880"/>
    <xdr:pic>
      <xdr:nvPicPr>
        <xdr:cNvPr id="38" name="Picture 37">
          <a:hlinkClick xmlns:r="http://schemas.openxmlformats.org/officeDocument/2006/relationships" r:id="rId8" tooltip="Go to completed balance sheet"/>
          <a:extLst>
            <a:ext uri="{FF2B5EF4-FFF2-40B4-BE49-F238E27FC236}">
              <a16:creationId xmlns:a16="http://schemas.microsoft.com/office/drawing/2014/main" id="{00000000-0008-0000-0300-00002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9643" y="3240661"/>
          <a:ext cx="182880" cy="182880"/>
        </a:xfrm>
        <a:prstGeom prst="rect">
          <a:avLst/>
        </a:prstGeom>
      </xdr:spPr>
    </xdr:pic>
    <xdr:clientData fPrintsWithSheet="0"/>
  </xdr:oneCellAnchor>
  <xdr:twoCellAnchor>
    <xdr:from>
      <xdr:col>0</xdr:col>
      <xdr:colOff>0</xdr:colOff>
      <xdr:row>3</xdr:row>
      <xdr:rowOff>110745</xdr:rowOff>
    </xdr:from>
    <xdr:to>
      <xdr:col>0</xdr:col>
      <xdr:colOff>2162847</xdr:colOff>
      <xdr:row>5</xdr:row>
      <xdr:rowOff>104649</xdr:rowOff>
    </xdr:to>
    <xdr:sp macro="[0]!PrintBS_Final" textlink="">
      <xdr:nvSpPr>
        <xdr:cNvPr id="39" name="Rectangle 38">
          <a:hlinkClick xmlns:r="http://schemas.openxmlformats.org/officeDocument/2006/relationships" r:id="rId9" tooltip="Go to Balance Sheet Data Entry"/>
          <a:extLst>
            <a:ext uri="{FF2B5EF4-FFF2-40B4-BE49-F238E27FC236}">
              <a16:creationId xmlns:a16="http://schemas.microsoft.com/office/drawing/2014/main" id="{00000000-0008-0000-0300-000027000000}"/>
            </a:ext>
          </a:extLst>
        </xdr:cNvPr>
        <xdr:cNvSpPr/>
      </xdr:nvSpPr>
      <xdr:spPr>
        <a:xfrm>
          <a:off x="0" y="745745"/>
          <a:ext cx="2162847" cy="374904"/>
        </a:xfrm>
        <a:prstGeom prst="rect">
          <a:avLst/>
        </a:prstGeom>
        <a:solidFill>
          <a:srgbClr val="8CC05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1. Go</a:t>
          </a:r>
          <a:r>
            <a:rPr lang="en-US" sz="1400" b="1" baseline="0"/>
            <a:t> to </a:t>
          </a:r>
          <a:r>
            <a:rPr lang="en-US" sz="1400" b="1"/>
            <a:t>Asset Entry</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0</xdr:col>
      <xdr:colOff>3124200</xdr:colOff>
      <xdr:row>6</xdr:row>
      <xdr:rowOff>648</xdr:rowOff>
    </xdr:from>
    <xdr:to>
      <xdr:col>0</xdr:col>
      <xdr:colOff>3305784</xdr:colOff>
      <xdr:row>6</xdr:row>
      <xdr:rowOff>182232</xdr:rowOff>
    </xdr:to>
    <xdr:pic>
      <xdr:nvPicPr>
        <xdr:cNvPr id="2" name="Picture 1">
          <a:hlinkClick xmlns:r="http://schemas.openxmlformats.org/officeDocument/2006/relationships" r:id="rId1" tooltip="Go to completed balance sheet"/>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4200" y="1162698"/>
          <a:ext cx="181584" cy="181584"/>
        </a:xfrm>
        <a:prstGeom prst="rect">
          <a:avLst/>
        </a:prstGeom>
      </xdr:spPr>
    </xdr:pic>
    <xdr:clientData fPrintsWithSheet="0"/>
  </xdr:twoCellAnchor>
  <xdr:twoCellAnchor editAs="oneCell">
    <xdr:from>
      <xdr:col>3</xdr:col>
      <xdr:colOff>3124200</xdr:colOff>
      <xdr:row>6</xdr:row>
      <xdr:rowOff>648</xdr:rowOff>
    </xdr:from>
    <xdr:to>
      <xdr:col>3</xdr:col>
      <xdr:colOff>3305784</xdr:colOff>
      <xdr:row>6</xdr:row>
      <xdr:rowOff>182232</xdr:rowOff>
    </xdr:to>
    <xdr:pic>
      <xdr:nvPicPr>
        <xdr:cNvPr id="7" name="Picture 6">
          <a:hlinkClick xmlns:r="http://schemas.openxmlformats.org/officeDocument/2006/relationships" r:id="rId3" tooltip="Go to completed balance sheet"/>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43875" y="1162698"/>
          <a:ext cx="181584" cy="181584"/>
        </a:xfrm>
        <a:prstGeom prst="rect">
          <a:avLst/>
        </a:prstGeom>
      </xdr:spPr>
    </xdr:pic>
    <xdr:clientData fPrintsWithSheet="0"/>
  </xdr:twoCellAnchor>
  <xdr:twoCellAnchor editAs="oneCell">
    <xdr:from>
      <xdr:col>3</xdr:col>
      <xdr:colOff>2838450</xdr:colOff>
      <xdr:row>0</xdr:row>
      <xdr:rowOff>66675</xdr:rowOff>
    </xdr:from>
    <xdr:to>
      <xdr:col>5</xdr:col>
      <xdr:colOff>381</xdr:colOff>
      <xdr:row>1</xdr:row>
      <xdr:rowOff>89535</xdr:rowOff>
    </xdr:to>
    <xdr:sp macro="[0]!PrintBS_Final" textlink="">
      <xdr:nvSpPr>
        <xdr:cNvPr id="11" name="Rectangle 10">
          <a:hlinkClick xmlns:r="http://schemas.openxmlformats.org/officeDocument/2006/relationships" r:id="rId4" tooltip="Go to General Info"/>
          <a:extLst>
            <a:ext uri="{FF2B5EF4-FFF2-40B4-BE49-F238E27FC236}">
              <a16:creationId xmlns:a16="http://schemas.microsoft.com/office/drawing/2014/main" id="{00000000-0008-0000-0400-00000B000000}"/>
            </a:ext>
          </a:extLst>
        </xdr:cNvPr>
        <xdr:cNvSpPr/>
      </xdr:nvSpPr>
      <xdr:spPr>
        <a:xfrm>
          <a:off x="7858125" y="66675"/>
          <a:ext cx="1591056" cy="365760"/>
        </a:xfrm>
        <a:prstGeom prst="rect">
          <a:avLst/>
        </a:prstGeom>
        <a:solidFill>
          <a:srgbClr val="F37321"/>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Go</a:t>
          </a:r>
          <a:r>
            <a:rPr lang="en-US" sz="1400" b="1" baseline="0"/>
            <a:t> to Gen Info</a:t>
          </a:r>
          <a:endParaRPr lang="en-US" sz="1400" b="1"/>
        </a:p>
      </xdr:txBody>
    </xdr:sp>
    <xdr:clientData fPrintsWithSheet="0"/>
  </xdr:twoCellAnchor>
  <xdr:twoCellAnchor>
    <xdr:from>
      <xdr:col>0</xdr:col>
      <xdr:colOff>47624</xdr:colOff>
      <xdr:row>0</xdr:row>
      <xdr:rowOff>52387</xdr:rowOff>
    </xdr:from>
    <xdr:to>
      <xdr:col>0</xdr:col>
      <xdr:colOff>2333624</xdr:colOff>
      <xdr:row>1</xdr:row>
      <xdr:rowOff>80962</xdr:rowOff>
    </xdr:to>
    <xdr:sp macro="[0]!PrintBS_Final" textlink="">
      <xdr:nvSpPr>
        <xdr:cNvPr id="12" name="Rectangle 11">
          <a:hlinkClick xmlns:r="http://schemas.openxmlformats.org/officeDocument/2006/relationships" r:id="rId5" tooltip="Go to Balance Sheet Simple Data Entry"/>
          <a:extLst>
            <a:ext uri="{FF2B5EF4-FFF2-40B4-BE49-F238E27FC236}">
              <a16:creationId xmlns:a16="http://schemas.microsoft.com/office/drawing/2014/main" id="{00000000-0008-0000-0400-00000C000000}"/>
            </a:ext>
          </a:extLst>
        </xdr:cNvPr>
        <xdr:cNvSpPr/>
      </xdr:nvSpPr>
      <xdr:spPr>
        <a:xfrm>
          <a:off x="47624" y="52387"/>
          <a:ext cx="2286000" cy="371475"/>
        </a:xfrm>
        <a:prstGeom prst="rect">
          <a:avLst/>
        </a:prstGeom>
        <a:solidFill>
          <a:srgbClr val="8CC05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5. Go</a:t>
          </a:r>
          <a:r>
            <a:rPr lang="en-US" sz="1400" b="1" baseline="0"/>
            <a:t> to </a:t>
          </a:r>
          <a:r>
            <a:rPr lang="en-US" sz="1400" b="1"/>
            <a:t>Final Balance Sheet</a:t>
          </a:r>
        </a:p>
      </xdr:txBody>
    </xdr:sp>
    <xdr:clientData fPrintsWithSheet="0"/>
  </xdr:twoCellAnchor>
  <xdr:twoCellAnchor>
    <xdr:from>
      <xdr:col>0</xdr:col>
      <xdr:colOff>47624</xdr:colOff>
      <xdr:row>1</xdr:row>
      <xdr:rowOff>119062</xdr:rowOff>
    </xdr:from>
    <xdr:to>
      <xdr:col>0</xdr:col>
      <xdr:colOff>2186129</xdr:colOff>
      <xdr:row>3</xdr:row>
      <xdr:rowOff>112966</xdr:rowOff>
    </xdr:to>
    <xdr:sp macro="[0]!PrintBS_Final" textlink="">
      <xdr:nvSpPr>
        <xdr:cNvPr id="13" name="Rectangle 12">
          <a:hlinkClick xmlns:r="http://schemas.openxmlformats.org/officeDocument/2006/relationships" r:id="rId6" tooltip="Go to Balance Sheet Data Entry"/>
          <a:extLst>
            <a:ext uri="{FF2B5EF4-FFF2-40B4-BE49-F238E27FC236}">
              <a16:creationId xmlns:a16="http://schemas.microsoft.com/office/drawing/2014/main" id="{00000000-0008-0000-0400-00000D000000}"/>
            </a:ext>
          </a:extLst>
        </xdr:cNvPr>
        <xdr:cNvSpPr/>
      </xdr:nvSpPr>
      <xdr:spPr>
        <a:xfrm>
          <a:off x="47624" y="461962"/>
          <a:ext cx="2138505" cy="374904"/>
        </a:xfrm>
        <a:prstGeom prst="rect">
          <a:avLst/>
        </a:prstGeom>
        <a:solidFill>
          <a:srgbClr val="8CC05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1. Go</a:t>
          </a:r>
          <a:r>
            <a:rPr lang="en-US" sz="1400" b="1" baseline="0"/>
            <a:t> to </a:t>
          </a:r>
          <a:r>
            <a:rPr lang="en-US" sz="1400" b="1"/>
            <a:t>Asset Entry</a:t>
          </a:r>
        </a:p>
      </xdr:txBody>
    </xdr:sp>
    <xdr:clientData fPrintsWithSheet="0"/>
  </xdr:twoCellAnchor>
  <xdr:twoCellAnchor>
    <xdr:from>
      <xdr:col>1</xdr:col>
      <xdr:colOff>896546</xdr:colOff>
      <xdr:row>1</xdr:row>
      <xdr:rowOff>119062</xdr:rowOff>
    </xdr:from>
    <xdr:to>
      <xdr:col>3</xdr:col>
      <xdr:colOff>1212538</xdr:colOff>
      <xdr:row>3</xdr:row>
      <xdr:rowOff>112966</xdr:rowOff>
    </xdr:to>
    <xdr:sp macro="[0]!PrintBS_Final" textlink="">
      <xdr:nvSpPr>
        <xdr:cNvPr id="14" name="Rectangle 13">
          <a:hlinkClick xmlns:r="http://schemas.openxmlformats.org/officeDocument/2006/relationships" r:id="rId7" tooltip="Go to Balance Sheet Data Entry"/>
          <a:extLst>
            <a:ext uri="{FF2B5EF4-FFF2-40B4-BE49-F238E27FC236}">
              <a16:creationId xmlns:a16="http://schemas.microsoft.com/office/drawing/2014/main" id="{00000000-0008-0000-0400-00000E000000}"/>
            </a:ext>
          </a:extLst>
        </xdr:cNvPr>
        <xdr:cNvSpPr/>
      </xdr:nvSpPr>
      <xdr:spPr>
        <a:xfrm>
          <a:off x="4449371" y="461962"/>
          <a:ext cx="2144792" cy="374904"/>
        </a:xfrm>
        <a:prstGeom prst="rect">
          <a:avLst/>
        </a:prstGeom>
        <a:solidFill>
          <a:srgbClr val="8CC05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4. Go</a:t>
          </a:r>
          <a:r>
            <a:rPr lang="en-US" sz="1400" b="1" baseline="0"/>
            <a:t> to </a:t>
          </a:r>
          <a:r>
            <a:rPr lang="en-US" sz="1400" b="1"/>
            <a:t>Loan Entry</a:t>
          </a:r>
        </a:p>
      </xdr:txBody>
    </xdr:sp>
    <xdr:clientData fPrintsWithSheet="0"/>
  </xdr:twoCellAnchor>
  <xdr:twoCellAnchor editAs="oneCell">
    <xdr:from>
      <xdr:col>0</xdr:col>
      <xdr:colOff>3124200</xdr:colOff>
      <xdr:row>13</xdr:row>
      <xdr:rowOff>0</xdr:rowOff>
    </xdr:from>
    <xdr:to>
      <xdr:col>0</xdr:col>
      <xdr:colOff>3305784</xdr:colOff>
      <xdr:row>13</xdr:row>
      <xdr:rowOff>181584</xdr:rowOff>
    </xdr:to>
    <xdr:pic>
      <xdr:nvPicPr>
        <xdr:cNvPr id="15" name="Picture 14">
          <a:hlinkClick xmlns:r="http://schemas.openxmlformats.org/officeDocument/2006/relationships" r:id="rId8" tooltip="Go to completed balance sheet"/>
          <a:extLst>
            <a:ext uri="{FF2B5EF4-FFF2-40B4-BE49-F238E27FC236}">
              <a16:creationId xmlns:a16="http://schemas.microsoft.com/office/drawing/2014/main" id="{00000000-0008-0000-0400-00000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4200" y="2495550"/>
          <a:ext cx="181584" cy="181584"/>
        </a:xfrm>
        <a:prstGeom prst="rect">
          <a:avLst/>
        </a:prstGeom>
      </xdr:spPr>
    </xdr:pic>
    <xdr:clientData fPrintsWithSheet="0"/>
  </xdr:twoCellAnchor>
  <xdr:twoCellAnchor editAs="oneCell">
    <xdr:from>
      <xdr:col>0</xdr:col>
      <xdr:colOff>3124200</xdr:colOff>
      <xdr:row>27</xdr:row>
      <xdr:rowOff>0</xdr:rowOff>
    </xdr:from>
    <xdr:to>
      <xdr:col>0</xdr:col>
      <xdr:colOff>3305784</xdr:colOff>
      <xdr:row>27</xdr:row>
      <xdr:rowOff>181584</xdr:rowOff>
    </xdr:to>
    <xdr:pic>
      <xdr:nvPicPr>
        <xdr:cNvPr id="16" name="Picture 15">
          <a:hlinkClick xmlns:r="http://schemas.openxmlformats.org/officeDocument/2006/relationships" r:id="rId9" tooltip="Go to completed balance sheet"/>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4200" y="3829050"/>
          <a:ext cx="181584" cy="181584"/>
        </a:xfrm>
        <a:prstGeom prst="rect">
          <a:avLst/>
        </a:prstGeom>
      </xdr:spPr>
    </xdr:pic>
    <xdr:clientData fPrintsWithSheet="0"/>
  </xdr:twoCellAnchor>
  <xdr:twoCellAnchor editAs="oneCell">
    <xdr:from>
      <xdr:col>0</xdr:col>
      <xdr:colOff>3124200</xdr:colOff>
      <xdr:row>34</xdr:row>
      <xdr:rowOff>0</xdr:rowOff>
    </xdr:from>
    <xdr:to>
      <xdr:col>0</xdr:col>
      <xdr:colOff>3305784</xdr:colOff>
      <xdr:row>34</xdr:row>
      <xdr:rowOff>181584</xdr:rowOff>
    </xdr:to>
    <xdr:pic>
      <xdr:nvPicPr>
        <xdr:cNvPr id="17" name="Picture 16">
          <a:hlinkClick xmlns:r="http://schemas.openxmlformats.org/officeDocument/2006/relationships" r:id="rId10" tooltip="Go to completed balance sheet"/>
          <a:extLst>
            <a:ext uri="{FF2B5EF4-FFF2-40B4-BE49-F238E27FC236}">
              <a16:creationId xmlns:a16="http://schemas.microsoft.com/office/drawing/2014/main" id="{00000000-0008-0000-04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4200" y="5162550"/>
          <a:ext cx="181584" cy="181584"/>
        </a:xfrm>
        <a:prstGeom prst="rect">
          <a:avLst/>
        </a:prstGeom>
      </xdr:spPr>
    </xdr:pic>
    <xdr:clientData fPrintsWithSheet="0"/>
  </xdr:twoCellAnchor>
  <xdr:twoCellAnchor editAs="oneCell">
    <xdr:from>
      <xdr:col>0</xdr:col>
      <xdr:colOff>3124200</xdr:colOff>
      <xdr:row>41</xdr:row>
      <xdr:rowOff>0</xdr:rowOff>
    </xdr:from>
    <xdr:to>
      <xdr:col>0</xdr:col>
      <xdr:colOff>3305784</xdr:colOff>
      <xdr:row>41</xdr:row>
      <xdr:rowOff>181584</xdr:rowOff>
    </xdr:to>
    <xdr:pic>
      <xdr:nvPicPr>
        <xdr:cNvPr id="18" name="Picture 17">
          <a:hlinkClick xmlns:r="http://schemas.openxmlformats.org/officeDocument/2006/relationships" r:id="rId11" tooltip="Go to completed balance sheet"/>
          <a:extLst>
            <a:ext uri="{FF2B5EF4-FFF2-40B4-BE49-F238E27FC236}">
              <a16:creationId xmlns:a16="http://schemas.microsoft.com/office/drawing/2014/main" id="{00000000-0008-0000-0400-00001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4200" y="6496050"/>
          <a:ext cx="181584" cy="181584"/>
        </a:xfrm>
        <a:prstGeom prst="rect">
          <a:avLst/>
        </a:prstGeom>
      </xdr:spPr>
    </xdr:pic>
    <xdr:clientData fPrintsWithSheet="0"/>
  </xdr:twoCellAnchor>
  <xdr:twoCellAnchor editAs="oneCell">
    <xdr:from>
      <xdr:col>3</xdr:col>
      <xdr:colOff>3124200</xdr:colOff>
      <xdr:row>13</xdr:row>
      <xdr:rowOff>0</xdr:rowOff>
    </xdr:from>
    <xdr:to>
      <xdr:col>3</xdr:col>
      <xdr:colOff>3305784</xdr:colOff>
      <xdr:row>13</xdr:row>
      <xdr:rowOff>181584</xdr:rowOff>
    </xdr:to>
    <xdr:pic>
      <xdr:nvPicPr>
        <xdr:cNvPr id="19" name="Picture 18">
          <a:hlinkClick xmlns:r="http://schemas.openxmlformats.org/officeDocument/2006/relationships" r:id="rId12" tooltip="Go to completed balance sheet"/>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43875" y="2495550"/>
          <a:ext cx="181584" cy="181584"/>
        </a:xfrm>
        <a:prstGeom prst="rect">
          <a:avLst/>
        </a:prstGeom>
      </xdr:spPr>
    </xdr:pic>
    <xdr:clientData fPrintsWithSheet="0"/>
  </xdr:twoCellAnchor>
  <xdr:twoCellAnchor editAs="oneCell">
    <xdr:from>
      <xdr:col>3</xdr:col>
      <xdr:colOff>3124200</xdr:colOff>
      <xdr:row>20</xdr:row>
      <xdr:rowOff>0</xdr:rowOff>
    </xdr:from>
    <xdr:to>
      <xdr:col>3</xdr:col>
      <xdr:colOff>3305784</xdr:colOff>
      <xdr:row>20</xdr:row>
      <xdr:rowOff>181584</xdr:rowOff>
    </xdr:to>
    <xdr:pic>
      <xdr:nvPicPr>
        <xdr:cNvPr id="20" name="Picture 19">
          <a:hlinkClick xmlns:r="http://schemas.openxmlformats.org/officeDocument/2006/relationships" r:id="rId13" tooltip="Go to completed balance sheet"/>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43875" y="3829050"/>
          <a:ext cx="181584" cy="181584"/>
        </a:xfrm>
        <a:prstGeom prst="rect">
          <a:avLst/>
        </a:prstGeom>
      </xdr:spPr>
    </xdr:pic>
    <xdr:clientData fPrintsWithSheet="0"/>
  </xdr:twoCellAnchor>
  <xdr:twoCellAnchor editAs="oneCell">
    <xdr:from>
      <xdr:col>3</xdr:col>
      <xdr:colOff>3124200</xdr:colOff>
      <xdr:row>27</xdr:row>
      <xdr:rowOff>0</xdr:rowOff>
    </xdr:from>
    <xdr:to>
      <xdr:col>3</xdr:col>
      <xdr:colOff>3305784</xdr:colOff>
      <xdr:row>27</xdr:row>
      <xdr:rowOff>181584</xdr:rowOff>
    </xdr:to>
    <xdr:pic>
      <xdr:nvPicPr>
        <xdr:cNvPr id="21" name="Picture 20">
          <a:hlinkClick xmlns:r="http://schemas.openxmlformats.org/officeDocument/2006/relationships" r:id="rId14" tooltip="Go to completed balance sheet"/>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43875" y="5162550"/>
          <a:ext cx="181584" cy="181584"/>
        </a:xfrm>
        <a:prstGeom prst="rect">
          <a:avLst/>
        </a:prstGeom>
      </xdr:spPr>
    </xdr:pic>
    <xdr:clientData fPrintsWithSheet="0"/>
  </xdr:twoCellAnchor>
  <xdr:oneCellAnchor>
    <xdr:from>
      <xdr:col>0</xdr:col>
      <xdr:colOff>3124200</xdr:colOff>
      <xdr:row>20</xdr:row>
      <xdr:rowOff>0</xdr:rowOff>
    </xdr:from>
    <xdr:ext cx="181584" cy="181584"/>
    <xdr:pic>
      <xdr:nvPicPr>
        <xdr:cNvPr id="23" name="Picture 22">
          <a:hlinkClick xmlns:r="http://schemas.openxmlformats.org/officeDocument/2006/relationships" r:id="rId15" tooltip="Go to completed balance sheet"/>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4200" y="2500313"/>
          <a:ext cx="181584" cy="181584"/>
        </a:xfrm>
        <a:prstGeom prst="rect">
          <a:avLst/>
        </a:prstGeom>
      </xdr:spPr>
    </xdr:pic>
    <xdr:clientData fPrintsWithSheet="0"/>
  </xdr:oneCellAnchor>
  <xdr:twoCellAnchor>
    <xdr:from>
      <xdr:col>0</xdr:col>
      <xdr:colOff>2228850</xdr:colOff>
      <xdr:row>1</xdr:row>
      <xdr:rowOff>119062</xdr:rowOff>
    </xdr:from>
    <xdr:to>
      <xdr:col>1</xdr:col>
      <xdr:colOff>838872</xdr:colOff>
      <xdr:row>3</xdr:row>
      <xdr:rowOff>112966</xdr:rowOff>
    </xdr:to>
    <xdr:sp macro="[0]!PrintBS_Final" textlink="">
      <xdr:nvSpPr>
        <xdr:cNvPr id="22" name="Rectangle 21">
          <a:hlinkClick xmlns:r="http://schemas.openxmlformats.org/officeDocument/2006/relationships" r:id="rId16" tooltip="Go to Balance Sheet Data Entry"/>
          <a:extLst>
            <a:ext uri="{FF2B5EF4-FFF2-40B4-BE49-F238E27FC236}">
              <a16:creationId xmlns:a16="http://schemas.microsoft.com/office/drawing/2014/main" id="{00000000-0008-0000-0400-000016000000}"/>
            </a:ext>
          </a:extLst>
        </xdr:cNvPr>
        <xdr:cNvSpPr/>
      </xdr:nvSpPr>
      <xdr:spPr>
        <a:xfrm>
          <a:off x="2228850" y="461962"/>
          <a:ext cx="2162847" cy="374904"/>
        </a:xfrm>
        <a:prstGeom prst="rect">
          <a:avLst/>
        </a:prstGeom>
        <a:solidFill>
          <a:srgbClr val="8CC05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2. Go</a:t>
          </a:r>
          <a:r>
            <a:rPr lang="en-US" sz="1400" b="1" baseline="0"/>
            <a:t> to </a:t>
          </a:r>
          <a:r>
            <a:rPr lang="en-US" sz="1400" b="1"/>
            <a:t>Inventory Entry</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9</xdr:col>
      <xdr:colOff>180975</xdr:colOff>
      <xdr:row>0</xdr:row>
      <xdr:rowOff>209551</xdr:rowOff>
    </xdr:from>
    <xdr:to>
      <xdr:col>29</xdr:col>
      <xdr:colOff>85725</xdr:colOff>
      <xdr:row>1</xdr:row>
      <xdr:rowOff>409576</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7934325" y="209551"/>
          <a:ext cx="2133600" cy="514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a:latin typeface="Arial" panose="020B0604020202020204" pitchFamily="34" charset="0"/>
              <a:cs typeface="Arial" panose="020B0604020202020204" pitchFamily="34" charset="0"/>
            </a:rPr>
            <a:t>Balances</a:t>
          </a:r>
          <a:r>
            <a:rPr lang="en-US" sz="1100" b="1" i="1" baseline="0">
              <a:latin typeface="Arial" panose="020B0604020202020204" pitchFamily="34" charset="0"/>
              <a:cs typeface="Arial" panose="020B0604020202020204" pitchFamily="34" charset="0"/>
            </a:rPr>
            <a:t> as of:</a:t>
          </a:r>
          <a:endParaRPr lang="en-US" sz="1100" b="1" i="1">
            <a:latin typeface="Arial" panose="020B0604020202020204" pitchFamily="34" charset="0"/>
            <a:cs typeface="Arial" panose="020B0604020202020204" pitchFamily="34" charset="0"/>
          </a:endParaRPr>
        </a:p>
      </xdr:txBody>
    </xdr:sp>
    <xdr:clientData/>
  </xdr:twoCellAnchor>
  <xdr:twoCellAnchor editAs="oneCell">
    <xdr:from>
      <xdr:col>2</xdr:col>
      <xdr:colOff>1209675</xdr:colOff>
      <xdr:row>3</xdr:row>
      <xdr:rowOff>0</xdr:rowOff>
    </xdr:from>
    <xdr:to>
      <xdr:col>2</xdr:col>
      <xdr:colOff>1502283</xdr:colOff>
      <xdr:row>3</xdr:row>
      <xdr:rowOff>292608</xdr:rowOff>
    </xdr:to>
    <xdr:pic>
      <xdr:nvPicPr>
        <xdr:cNvPr id="2" name="Picture 1">
          <a:hlinkClick xmlns:r="http://schemas.openxmlformats.org/officeDocument/2006/relationships" r:id="rId1" tooltip="Go to completed balance sheet"/>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76650" y="942975"/>
          <a:ext cx="292608" cy="292608"/>
        </a:xfrm>
        <a:prstGeom prst="rect">
          <a:avLst/>
        </a:prstGeom>
      </xdr:spPr>
    </xdr:pic>
    <xdr:clientData/>
  </xdr:twoCellAnchor>
  <xdr:twoCellAnchor editAs="oneCell">
    <xdr:from>
      <xdr:col>4</xdr:col>
      <xdr:colOff>193675</xdr:colOff>
      <xdr:row>0</xdr:row>
      <xdr:rowOff>81492</xdr:rowOff>
    </xdr:from>
    <xdr:to>
      <xdr:col>6</xdr:col>
      <xdr:colOff>31750</xdr:colOff>
      <xdr:row>1</xdr:row>
      <xdr:rowOff>142071</xdr:rowOff>
    </xdr:to>
    <xdr:sp macro="[0]!PrintBS_Final" textlink="">
      <xdr:nvSpPr>
        <xdr:cNvPr id="9" name="Rectangle 8">
          <a:hlinkClick xmlns:r="http://schemas.openxmlformats.org/officeDocument/2006/relationships" r:id="rId3" tooltip="Go to General Info"/>
          <a:extLst>
            <a:ext uri="{FF2B5EF4-FFF2-40B4-BE49-F238E27FC236}">
              <a16:creationId xmlns:a16="http://schemas.microsoft.com/office/drawing/2014/main" id="{00000000-0008-0000-0500-000009000000}"/>
            </a:ext>
          </a:extLst>
        </xdr:cNvPr>
        <xdr:cNvSpPr/>
      </xdr:nvSpPr>
      <xdr:spPr>
        <a:xfrm>
          <a:off x="5409142" y="81492"/>
          <a:ext cx="1434041" cy="373846"/>
        </a:xfrm>
        <a:prstGeom prst="rect">
          <a:avLst/>
        </a:prstGeom>
        <a:solidFill>
          <a:srgbClr val="F37321"/>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Go</a:t>
          </a:r>
          <a:r>
            <a:rPr lang="en-US" sz="1400" b="1" baseline="0"/>
            <a:t> to Gen Info</a:t>
          </a:r>
          <a:endParaRPr lang="en-US" sz="1400" b="1"/>
        </a:p>
      </xdr:txBody>
    </xdr:sp>
    <xdr:clientData fPrintsWithSheet="0"/>
  </xdr:twoCellAnchor>
  <xdr:twoCellAnchor>
    <xdr:from>
      <xdr:col>1</xdr:col>
      <xdr:colOff>33337</xdr:colOff>
      <xdr:row>0</xdr:row>
      <xdr:rowOff>42863</xdr:rowOff>
    </xdr:from>
    <xdr:to>
      <xdr:col>1</xdr:col>
      <xdr:colOff>2319337</xdr:colOff>
      <xdr:row>1</xdr:row>
      <xdr:rowOff>103442</xdr:rowOff>
    </xdr:to>
    <xdr:sp macro="[0]!PrintBS_Final" textlink="">
      <xdr:nvSpPr>
        <xdr:cNvPr id="10" name="Rectangle 9">
          <a:hlinkClick xmlns:r="http://schemas.openxmlformats.org/officeDocument/2006/relationships" r:id="rId4" tooltip="Go to Balance Sheet Simple Data Entry"/>
          <a:extLst>
            <a:ext uri="{FF2B5EF4-FFF2-40B4-BE49-F238E27FC236}">
              <a16:creationId xmlns:a16="http://schemas.microsoft.com/office/drawing/2014/main" id="{00000000-0008-0000-0500-00000A000000}"/>
            </a:ext>
          </a:extLst>
        </xdr:cNvPr>
        <xdr:cNvSpPr/>
      </xdr:nvSpPr>
      <xdr:spPr>
        <a:xfrm>
          <a:off x="219075" y="42863"/>
          <a:ext cx="2286000" cy="374904"/>
        </a:xfrm>
        <a:prstGeom prst="rect">
          <a:avLst/>
        </a:prstGeom>
        <a:solidFill>
          <a:srgbClr val="8CC05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5. Go</a:t>
          </a:r>
          <a:r>
            <a:rPr lang="en-US" sz="1400" b="1" baseline="0"/>
            <a:t> to Final </a:t>
          </a:r>
          <a:r>
            <a:rPr lang="en-US" sz="1400" b="1"/>
            <a:t>Balance Sheet</a:t>
          </a:r>
        </a:p>
      </xdr:txBody>
    </xdr:sp>
    <xdr:clientData fPrintsWithSheet="0"/>
  </xdr:twoCellAnchor>
  <xdr:twoCellAnchor>
    <xdr:from>
      <xdr:col>1</xdr:col>
      <xdr:colOff>33337</xdr:colOff>
      <xdr:row>1</xdr:row>
      <xdr:rowOff>191420</xdr:rowOff>
    </xdr:from>
    <xdr:to>
      <xdr:col>1</xdr:col>
      <xdr:colOff>2158217</xdr:colOff>
      <xdr:row>1</xdr:row>
      <xdr:rowOff>565266</xdr:rowOff>
    </xdr:to>
    <xdr:sp macro="[0]!PrintBS_Final" textlink="">
      <xdr:nvSpPr>
        <xdr:cNvPr id="11" name="Rectangle 10">
          <a:hlinkClick xmlns:r="http://schemas.openxmlformats.org/officeDocument/2006/relationships" r:id="rId5" tooltip="Go to Balance Sheet Data Entry"/>
          <a:extLst>
            <a:ext uri="{FF2B5EF4-FFF2-40B4-BE49-F238E27FC236}">
              <a16:creationId xmlns:a16="http://schemas.microsoft.com/office/drawing/2014/main" id="{00000000-0008-0000-0500-00000B000000}"/>
            </a:ext>
          </a:extLst>
        </xdr:cNvPr>
        <xdr:cNvSpPr/>
      </xdr:nvSpPr>
      <xdr:spPr>
        <a:xfrm>
          <a:off x="219075" y="505745"/>
          <a:ext cx="2124880" cy="373846"/>
        </a:xfrm>
        <a:prstGeom prst="rect">
          <a:avLst/>
        </a:prstGeom>
        <a:solidFill>
          <a:srgbClr val="8CC05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1. Go</a:t>
          </a:r>
          <a:r>
            <a:rPr lang="en-US" sz="1400" b="1" baseline="0"/>
            <a:t> to </a:t>
          </a:r>
          <a:r>
            <a:rPr lang="en-US" sz="1400" b="1"/>
            <a:t>Asset Entry</a:t>
          </a:r>
        </a:p>
      </xdr:txBody>
    </xdr:sp>
    <xdr:clientData fPrintsWithSheet="0"/>
  </xdr:twoCellAnchor>
  <xdr:twoCellAnchor>
    <xdr:from>
      <xdr:col>3</xdr:col>
      <xdr:colOff>315366</xdr:colOff>
      <xdr:row>1</xdr:row>
      <xdr:rowOff>191420</xdr:rowOff>
    </xdr:from>
    <xdr:to>
      <xdr:col>5</xdr:col>
      <xdr:colOff>902106</xdr:colOff>
      <xdr:row>1</xdr:row>
      <xdr:rowOff>565266</xdr:rowOff>
    </xdr:to>
    <xdr:sp macro="[0]!PrintBS_Final" textlink="">
      <xdr:nvSpPr>
        <xdr:cNvPr id="12" name="Rectangle 11">
          <a:hlinkClick xmlns:r="http://schemas.openxmlformats.org/officeDocument/2006/relationships" r:id="rId6" tooltip="Go to Balance Sheet Data Entry"/>
          <a:extLst>
            <a:ext uri="{FF2B5EF4-FFF2-40B4-BE49-F238E27FC236}">
              <a16:creationId xmlns:a16="http://schemas.microsoft.com/office/drawing/2014/main" id="{00000000-0008-0000-0500-00000C000000}"/>
            </a:ext>
          </a:extLst>
        </xdr:cNvPr>
        <xdr:cNvSpPr/>
      </xdr:nvSpPr>
      <xdr:spPr>
        <a:xfrm>
          <a:off x="4596854" y="505745"/>
          <a:ext cx="2148840" cy="373846"/>
        </a:xfrm>
        <a:prstGeom prst="rect">
          <a:avLst/>
        </a:prstGeom>
        <a:solidFill>
          <a:srgbClr val="8CC05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3. Go</a:t>
          </a:r>
          <a:r>
            <a:rPr lang="en-US" sz="1400" b="1" baseline="0"/>
            <a:t> to </a:t>
          </a:r>
          <a:r>
            <a:rPr lang="en-US" sz="1400" b="1"/>
            <a:t>Liability Data Entry</a:t>
          </a:r>
        </a:p>
      </xdr:txBody>
    </xdr:sp>
    <xdr:clientData fPrintsWithSheet="0"/>
  </xdr:twoCellAnchor>
  <xdr:twoCellAnchor editAs="oneCell">
    <xdr:from>
      <xdr:col>2</xdr:col>
      <xdr:colOff>1209675</xdr:colOff>
      <xdr:row>13</xdr:row>
      <xdr:rowOff>0</xdr:rowOff>
    </xdr:from>
    <xdr:to>
      <xdr:col>2</xdr:col>
      <xdr:colOff>1502283</xdr:colOff>
      <xdr:row>13</xdr:row>
      <xdr:rowOff>292608</xdr:rowOff>
    </xdr:to>
    <xdr:pic>
      <xdr:nvPicPr>
        <xdr:cNvPr id="13" name="Picture 12">
          <a:hlinkClick xmlns:r="http://schemas.openxmlformats.org/officeDocument/2006/relationships" r:id="rId7" tooltip="Go to completed balance sheet"/>
          <a:extLst>
            <a:ext uri="{FF2B5EF4-FFF2-40B4-BE49-F238E27FC236}">
              <a16:creationId xmlns:a16="http://schemas.microsoft.com/office/drawing/2014/main" id="{00000000-0008-0000-0500-00000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76650" y="4086225"/>
          <a:ext cx="292608" cy="292608"/>
        </a:xfrm>
        <a:prstGeom prst="rect">
          <a:avLst/>
        </a:prstGeom>
      </xdr:spPr>
    </xdr:pic>
    <xdr:clientData/>
  </xdr:twoCellAnchor>
  <xdr:twoCellAnchor editAs="oneCell">
    <xdr:from>
      <xdr:col>2</xdr:col>
      <xdr:colOff>1209675</xdr:colOff>
      <xdr:row>21</xdr:row>
      <xdr:rowOff>0</xdr:rowOff>
    </xdr:from>
    <xdr:to>
      <xdr:col>2</xdr:col>
      <xdr:colOff>1502283</xdr:colOff>
      <xdr:row>21</xdr:row>
      <xdr:rowOff>292608</xdr:rowOff>
    </xdr:to>
    <xdr:pic>
      <xdr:nvPicPr>
        <xdr:cNvPr id="14" name="Picture 13">
          <a:hlinkClick xmlns:r="http://schemas.openxmlformats.org/officeDocument/2006/relationships" r:id="rId8" tooltip="Go back to simple entry"/>
          <a:extLst>
            <a:ext uri="{FF2B5EF4-FFF2-40B4-BE49-F238E27FC236}">
              <a16:creationId xmlns:a16="http://schemas.microsoft.com/office/drawing/2014/main" id="{00000000-0008-0000-05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76650" y="6448425"/>
          <a:ext cx="292608" cy="292608"/>
        </a:xfrm>
        <a:prstGeom prst="rect">
          <a:avLst/>
        </a:prstGeom>
      </xdr:spPr>
    </xdr:pic>
    <xdr:clientData/>
  </xdr:twoCellAnchor>
  <xdr:twoCellAnchor editAs="oneCell">
    <xdr:from>
      <xdr:col>2</xdr:col>
      <xdr:colOff>1209675</xdr:colOff>
      <xdr:row>29</xdr:row>
      <xdr:rowOff>0</xdr:rowOff>
    </xdr:from>
    <xdr:to>
      <xdr:col>2</xdr:col>
      <xdr:colOff>1502283</xdr:colOff>
      <xdr:row>29</xdr:row>
      <xdr:rowOff>292608</xdr:rowOff>
    </xdr:to>
    <xdr:pic>
      <xdr:nvPicPr>
        <xdr:cNvPr id="15" name="Picture 14">
          <a:hlinkClick xmlns:r="http://schemas.openxmlformats.org/officeDocument/2006/relationships" r:id="rId9" tooltip="Go back to simple entry"/>
          <a:extLst>
            <a:ext uri="{FF2B5EF4-FFF2-40B4-BE49-F238E27FC236}">
              <a16:creationId xmlns:a16="http://schemas.microsoft.com/office/drawing/2014/main" id="{00000000-0008-0000-0500-00000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76650" y="8963025"/>
          <a:ext cx="292608" cy="292608"/>
        </a:xfrm>
        <a:prstGeom prst="rect">
          <a:avLst/>
        </a:prstGeom>
      </xdr:spPr>
    </xdr:pic>
    <xdr:clientData/>
  </xdr:twoCellAnchor>
  <xdr:twoCellAnchor editAs="oneCell">
    <xdr:from>
      <xdr:col>2</xdr:col>
      <xdr:colOff>1209675</xdr:colOff>
      <xdr:row>53</xdr:row>
      <xdr:rowOff>0</xdr:rowOff>
    </xdr:from>
    <xdr:to>
      <xdr:col>2</xdr:col>
      <xdr:colOff>1502283</xdr:colOff>
      <xdr:row>53</xdr:row>
      <xdr:rowOff>292608</xdr:rowOff>
    </xdr:to>
    <xdr:pic>
      <xdr:nvPicPr>
        <xdr:cNvPr id="16" name="Picture 15">
          <a:hlinkClick xmlns:r="http://schemas.openxmlformats.org/officeDocument/2006/relationships" r:id="rId7" tooltip="Go back to simple entry"/>
          <a:extLst>
            <a:ext uri="{FF2B5EF4-FFF2-40B4-BE49-F238E27FC236}">
              <a16:creationId xmlns:a16="http://schemas.microsoft.com/office/drawing/2014/main" id="{00000000-0008-0000-0500-00001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76650" y="11477625"/>
          <a:ext cx="292608" cy="292608"/>
        </a:xfrm>
        <a:prstGeom prst="rect">
          <a:avLst/>
        </a:prstGeom>
      </xdr:spPr>
    </xdr:pic>
    <xdr:clientData/>
  </xdr:twoCellAnchor>
  <xdr:twoCellAnchor editAs="oneCell">
    <xdr:from>
      <xdr:col>2</xdr:col>
      <xdr:colOff>1209675</xdr:colOff>
      <xdr:row>61</xdr:row>
      <xdr:rowOff>0</xdr:rowOff>
    </xdr:from>
    <xdr:to>
      <xdr:col>2</xdr:col>
      <xdr:colOff>1502283</xdr:colOff>
      <xdr:row>61</xdr:row>
      <xdr:rowOff>292608</xdr:rowOff>
    </xdr:to>
    <xdr:pic>
      <xdr:nvPicPr>
        <xdr:cNvPr id="17" name="Picture 16">
          <a:hlinkClick xmlns:r="http://schemas.openxmlformats.org/officeDocument/2006/relationships" r:id="rId10" tooltip="Go back to simple entry"/>
          <a:extLst>
            <a:ext uri="{FF2B5EF4-FFF2-40B4-BE49-F238E27FC236}">
              <a16:creationId xmlns:a16="http://schemas.microsoft.com/office/drawing/2014/main" id="{00000000-0008-0000-05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76650" y="13992225"/>
          <a:ext cx="292608" cy="292608"/>
        </a:xfrm>
        <a:prstGeom prst="rect">
          <a:avLst/>
        </a:prstGeom>
      </xdr:spPr>
    </xdr:pic>
    <xdr:clientData/>
  </xdr:twoCellAnchor>
  <xdr:twoCellAnchor editAs="oneCell">
    <xdr:from>
      <xdr:col>2</xdr:col>
      <xdr:colOff>1209675</xdr:colOff>
      <xdr:row>69</xdr:row>
      <xdr:rowOff>0</xdr:rowOff>
    </xdr:from>
    <xdr:to>
      <xdr:col>2</xdr:col>
      <xdr:colOff>1502283</xdr:colOff>
      <xdr:row>69</xdr:row>
      <xdr:rowOff>292608</xdr:rowOff>
    </xdr:to>
    <xdr:pic>
      <xdr:nvPicPr>
        <xdr:cNvPr id="18" name="Picture 17">
          <a:hlinkClick xmlns:r="http://schemas.openxmlformats.org/officeDocument/2006/relationships" r:id="rId11" tooltip="Go back to simple entry"/>
          <a:extLst>
            <a:ext uri="{FF2B5EF4-FFF2-40B4-BE49-F238E27FC236}">
              <a16:creationId xmlns:a16="http://schemas.microsoft.com/office/drawing/2014/main" id="{00000000-0008-0000-0500-00001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76650" y="16506825"/>
          <a:ext cx="292608" cy="292608"/>
        </a:xfrm>
        <a:prstGeom prst="rect">
          <a:avLst/>
        </a:prstGeom>
      </xdr:spPr>
    </xdr:pic>
    <xdr:clientData/>
  </xdr:twoCellAnchor>
  <xdr:twoCellAnchor>
    <xdr:from>
      <xdr:col>27</xdr:col>
      <xdr:colOff>2585508</xdr:colOff>
      <xdr:row>0</xdr:row>
      <xdr:rowOff>208492</xdr:rowOff>
    </xdr:from>
    <xdr:to>
      <xdr:col>30</xdr:col>
      <xdr:colOff>596370</xdr:colOff>
      <xdr:row>1</xdr:row>
      <xdr:rowOff>470428</xdr:rowOff>
    </xdr:to>
    <xdr:sp macro="" textlink="GenInfoBSDate">
      <xdr:nvSpPr>
        <xdr:cNvPr id="3" name="Rectangle 2">
          <a:extLst>
            <a:ext uri="{FF2B5EF4-FFF2-40B4-BE49-F238E27FC236}">
              <a16:creationId xmlns:a16="http://schemas.microsoft.com/office/drawing/2014/main" id="{00000000-0008-0000-0500-000003000000}"/>
            </a:ext>
          </a:extLst>
        </xdr:cNvPr>
        <xdr:cNvSpPr/>
      </xdr:nvSpPr>
      <xdr:spPr>
        <a:xfrm>
          <a:off x="19549533" y="208492"/>
          <a:ext cx="2316162" cy="576261"/>
        </a:xfrm>
        <a:prstGeom prst="rect">
          <a:avLst/>
        </a:prstGeom>
        <a:solidFill>
          <a:schemeClr val="bg1"/>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fld id="{C1D3A863-0813-4E0D-820B-CBC74412A59E}" type="TxLink">
            <a:rPr lang="en-US" sz="1200" b="1" i="0" u="none" strike="noStrike">
              <a:solidFill>
                <a:srgbClr val="000000"/>
              </a:solidFill>
              <a:latin typeface="Arial"/>
              <a:cs typeface="Arial"/>
            </a:rPr>
            <a:pPr algn="l"/>
            <a:t> </a:t>
          </a:fld>
          <a:endParaRPr lang="en-US"/>
        </a:p>
      </xdr:txBody>
    </xdr:sp>
    <xdr:clientData/>
  </xdr:twoCellAnchor>
  <xdr:oneCellAnchor>
    <xdr:from>
      <xdr:col>2</xdr:col>
      <xdr:colOff>1209675</xdr:colOff>
      <xdr:row>21</xdr:row>
      <xdr:rowOff>0</xdr:rowOff>
    </xdr:from>
    <xdr:ext cx="292608" cy="292608"/>
    <xdr:pic>
      <xdr:nvPicPr>
        <xdr:cNvPr id="19" name="Picture 18">
          <a:hlinkClick xmlns:r="http://schemas.openxmlformats.org/officeDocument/2006/relationships" r:id="rId12" tooltip="Go back to simple entry"/>
          <a:extLst>
            <a:ext uri="{FF2B5EF4-FFF2-40B4-BE49-F238E27FC236}">
              <a16:creationId xmlns:a16="http://schemas.microsoft.com/office/drawing/2014/main" id="{00000000-0008-0000-05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86175" y="4086225"/>
          <a:ext cx="292608" cy="292608"/>
        </a:xfrm>
        <a:prstGeom prst="rect">
          <a:avLst/>
        </a:prstGeom>
      </xdr:spPr>
    </xdr:pic>
    <xdr:clientData/>
  </xdr:oneCellAnchor>
  <xdr:oneCellAnchor>
    <xdr:from>
      <xdr:col>2</xdr:col>
      <xdr:colOff>1209675</xdr:colOff>
      <xdr:row>29</xdr:row>
      <xdr:rowOff>0</xdr:rowOff>
    </xdr:from>
    <xdr:ext cx="292608" cy="292608"/>
    <xdr:pic>
      <xdr:nvPicPr>
        <xdr:cNvPr id="20" name="Picture 19">
          <a:hlinkClick xmlns:r="http://schemas.openxmlformats.org/officeDocument/2006/relationships" r:id="rId12" tooltip="Go back to simple entry"/>
          <a:extLst>
            <a:ext uri="{FF2B5EF4-FFF2-40B4-BE49-F238E27FC236}">
              <a16:creationId xmlns:a16="http://schemas.microsoft.com/office/drawing/2014/main" id="{00000000-0008-0000-05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86175" y="4086225"/>
          <a:ext cx="292608" cy="292608"/>
        </a:xfrm>
        <a:prstGeom prst="rect">
          <a:avLst/>
        </a:prstGeom>
      </xdr:spPr>
    </xdr:pic>
    <xdr:clientData/>
  </xdr:oneCellAnchor>
  <xdr:oneCellAnchor>
    <xdr:from>
      <xdr:col>2</xdr:col>
      <xdr:colOff>1209675</xdr:colOff>
      <xdr:row>53</xdr:row>
      <xdr:rowOff>0</xdr:rowOff>
    </xdr:from>
    <xdr:ext cx="292608" cy="292608"/>
    <xdr:pic>
      <xdr:nvPicPr>
        <xdr:cNvPr id="21" name="Picture 20">
          <a:hlinkClick xmlns:r="http://schemas.openxmlformats.org/officeDocument/2006/relationships" r:id="rId12" tooltip="Go back to simple entry"/>
          <a:extLst>
            <a:ext uri="{FF2B5EF4-FFF2-40B4-BE49-F238E27FC236}">
              <a16:creationId xmlns:a16="http://schemas.microsoft.com/office/drawing/2014/main" id="{00000000-0008-0000-0500-00001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86175" y="4086225"/>
          <a:ext cx="292608" cy="292608"/>
        </a:xfrm>
        <a:prstGeom prst="rect">
          <a:avLst/>
        </a:prstGeom>
      </xdr:spPr>
    </xdr:pic>
    <xdr:clientData/>
  </xdr:oneCellAnchor>
  <xdr:oneCellAnchor>
    <xdr:from>
      <xdr:col>2</xdr:col>
      <xdr:colOff>1209675</xdr:colOff>
      <xdr:row>61</xdr:row>
      <xdr:rowOff>0</xdr:rowOff>
    </xdr:from>
    <xdr:ext cx="292608" cy="292608"/>
    <xdr:pic>
      <xdr:nvPicPr>
        <xdr:cNvPr id="22" name="Picture 21">
          <a:hlinkClick xmlns:r="http://schemas.openxmlformats.org/officeDocument/2006/relationships" r:id="rId12" tooltip="Go back to simple entry"/>
          <a:extLst>
            <a:ext uri="{FF2B5EF4-FFF2-40B4-BE49-F238E27FC236}">
              <a16:creationId xmlns:a16="http://schemas.microsoft.com/office/drawing/2014/main" id="{00000000-0008-0000-0500-00001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86175" y="4086225"/>
          <a:ext cx="292608" cy="292608"/>
        </a:xfrm>
        <a:prstGeom prst="rect">
          <a:avLst/>
        </a:prstGeom>
      </xdr:spPr>
    </xdr:pic>
    <xdr:clientData/>
  </xdr:oneCellAnchor>
  <xdr:oneCellAnchor>
    <xdr:from>
      <xdr:col>2</xdr:col>
      <xdr:colOff>1209675</xdr:colOff>
      <xdr:row>69</xdr:row>
      <xdr:rowOff>0</xdr:rowOff>
    </xdr:from>
    <xdr:ext cx="292608" cy="292608"/>
    <xdr:pic>
      <xdr:nvPicPr>
        <xdr:cNvPr id="23" name="Picture 22">
          <a:hlinkClick xmlns:r="http://schemas.openxmlformats.org/officeDocument/2006/relationships" r:id="rId12" tooltip="Go back to simple entry"/>
          <a:extLst>
            <a:ext uri="{FF2B5EF4-FFF2-40B4-BE49-F238E27FC236}">
              <a16:creationId xmlns:a16="http://schemas.microsoft.com/office/drawing/2014/main" id="{00000000-0008-0000-05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86175" y="4086225"/>
          <a:ext cx="292608" cy="292608"/>
        </a:xfrm>
        <a:prstGeom prst="rect">
          <a:avLst/>
        </a:prstGeom>
      </xdr:spPr>
    </xdr:pic>
    <xdr:clientData/>
  </xdr:oneCellAnchor>
  <xdr:oneCellAnchor>
    <xdr:from>
      <xdr:col>2</xdr:col>
      <xdr:colOff>1209675</xdr:colOff>
      <xdr:row>21</xdr:row>
      <xdr:rowOff>0</xdr:rowOff>
    </xdr:from>
    <xdr:ext cx="292608" cy="292608"/>
    <xdr:pic>
      <xdr:nvPicPr>
        <xdr:cNvPr id="24" name="Picture 23">
          <a:hlinkClick xmlns:r="http://schemas.openxmlformats.org/officeDocument/2006/relationships" r:id="rId13" tooltip="Go to completed balance sheet"/>
          <a:extLst>
            <a:ext uri="{FF2B5EF4-FFF2-40B4-BE49-F238E27FC236}">
              <a16:creationId xmlns:a16="http://schemas.microsoft.com/office/drawing/2014/main" id="{00000000-0008-0000-0500-00001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86175" y="4086225"/>
          <a:ext cx="292608" cy="292608"/>
        </a:xfrm>
        <a:prstGeom prst="rect">
          <a:avLst/>
        </a:prstGeom>
      </xdr:spPr>
    </xdr:pic>
    <xdr:clientData/>
  </xdr:oneCellAnchor>
  <xdr:oneCellAnchor>
    <xdr:from>
      <xdr:col>2</xdr:col>
      <xdr:colOff>1209675</xdr:colOff>
      <xdr:row>29</xdr:row>
      <xdr:rowOff>0</xdr:rowOff>
    </xdr:from>
    <xdr:ext cx="292608" cy="292608"/>
    <xdr:pic>
      <xdr:nvPicPr>
        <xdr:cNvPr id="25" name="Picture 24">
          <a:hlinkClick xmlns:r="http://schemas.openxmlformats.org/officeDocument/2006/relationships" r:id="rId14" tooltip="Go to completed balance sheet"/>
          <a:extLst>
            <a:ext uri="{FF2B5EF4-FFF2-40B4-BE49-F238E27FC236}">
              <a16:creationId xmlns:a16="http://schemas.microsoft.com/office/drawing/2014/main" id="{00000000-0008-0000-0500-00001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86175" y="4086225"/>
          <a:ext cx="292608" cy="292608"/>
        </a:xfrm>
        <a:prstGeom prst="rect">
          <a:avLst/>
        </a:prstGeom>
      </xdr:spPr>
    </xdr:pic>
    <xdr:clientData/>
  </xdr:oneCellAnchor>
  <xdr:oneCellAnchor>
    <xdr:from>
      <xdr:col>2</xdr:col>
      <xdr:colOff>1209675</xdr:colOff>
      <xdr:row>53</xdr:row>
      <xdr:rowOff>0</xdr:rowOff>
    </xdr:from>
    <xdr:ext cx="292608" cy="292608"/>
    <xdr:pic>
      <xdr:nvPicPr>
        <xdr:cNvPr id="26" name="Picture 25">
          <a:hlinkClick xmlns:r="http://schemas.openxmlformats.org/officeDocument/2006/relationships" r:id="rId15" tooltip="Go to completed balance sheet"/>
          <a:extLst>
            <a:ext uri="{FF2B5EF4-FFF2-40B4-BE49-F238E27FC236}">
              <a16:creationId xmlns:a16="http://schemas.microsoft.com/office/drawing/2014/main" id="{00000000-0008-0000-0500-00001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86175" y="4086225"/>
          <a:ext cx="292608" cy="292608"/>
        </a:xfrm>
        <a:prstGeom prst="rect">
          <a:avLst/>
        </a:prstGeom>
      </xdr:spPr>
    </xdr:pic>
    <xdr:clientData/>
  </xdr:oneCellAnchor>
  <xdr:oneCellAnchor>
    <xdr:from>
      <xdr:col>2</xdr:col>
      <xdr:colOff>1209675</xdr:colOff>
      <xdr:row>61</xdr:row>
      <xdr:rowOff>0</xdr:rowOff>
    </xdr:from>
    <xdr:ext cx="292608" cy="292608"/>
    <xdr:pic>
      <xdr:nvPicPr>
        <xdr:cNvPr id="27" name="Picture 26">
          <a:hlinkClick xmlns:r="http://schemas.openxmlformats.org/officeDocument/2006/relationships" r:id="rId11" tooltip="Go to completed balance sheet"/>
          <a:extLst>
            <a:ext uri="{FF2B5EF4-FFF2-40B4-BE49-F238E27FC236}">
              <a16:creationId xmlns:a16="http://schemas.microsoft.com/office/drawing/2014/main" id="{00000000-0008-0000-0500-00001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86175" y="4086225"/>
          <a:ext cx="292608" cy="292608"/>
        </a:xfrm>
        <a:prstGeom prst="rect">
          <a:avLst/>
        </a:prstGeom>
      </xdr:spPr>
    </xdr:pic>
    <xdr:clientData/>
  </xdr:oneCellAnchor>
  <xdr:oneCellAnchor>
    <xdr:from>
      <xdr:col>2</xdr:col>
      <xdr:colOff>1209675</xdr:colOff>
      <xdr:row>69</xdr:row>
      <xdr:rowOff>0</xdr:rowOff>
    </xdr:from>
    <xdr:ext cx="292608" cy="292608"/>
    <xdr:pic>
      <xdr:nvPicPr>
        <xdr:cNvPr id="28" name="Picture 27">
          <a:hlinkClick xmlns:r="http://schemas.openxmlformats.org/officeDocument/2006/relationships" r:id="rId11" tooltip="Go to completed balance sheet"/>
          <a:extLst>
            <a:ext uri="{FF2B5EF4-FFF2-40B4-BE49-F238E27FC236}">
              <a16:creationId xmlns:a16="http://schemas.microsoft.com/office/drawing/2014/main" id="{00000000-0008-0000-0500-00001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86175" y="4086225"/>
          <a:ext cx="292608" cy="292608"/>
        </a:xfrm>
        <a:prstGeom prst="rect">
          <a:avLst/>
        </a:prstGeom>
      </xdr:spPr>
    </xdr:pic>
    <xdr:clientData/>
  </xdr:oneCellAnchor>
  <xdr:oneCellAnchor>
    <xdr:from>
      <xdr:col>2</xdr:col>
      <xdr:colOff>1209675</xdr:colOff>
      <xdr:row>45</xdr:row>
      <xdr:rowOff>0</xdr:rowOff>
    </xdr:from>
    <xdr:ext cx="292608" cy="292608"/>
    <xdr:pic>
      <xdr:nvPicPr>
        <xdr:cNvPr id="29" name="Picture 28">
          <a:hlinkClick xmlns:r="http://schemas.openxmlformats.org/officeDocument/2006/relationships" r:id="rId7" tooltip="Go back to simple entry"/>
          <a:extLst>
            <a:ext uri="{FF2B5EF4-FFF2-40B4-BE49-F238E27FC236}">
              <a16:creationId xmlns:a16="http://schemas.microsoft.com/office/drawing/2014/main" id="{00000000-0008-0000-0500-00001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85142" y="13631333"/>
          <a:ext cx="292608" cy="292608"/>
        </a:xfrm>
        <a:prstGeom prst="rect">
          <a:avLst/>
        </a:prstGeom>
      </xdr:spPr>
    </xdr:pic>
    <xdr:clientData/>
  </xdr:oneCellAnchor>
  <xdr:oneCellAnchor>
    <xdr:from>
      <xdr:col>2</xdr:col>
      <xdr:colOff>1209675</xdr:colOff>
      <xdr:row>45</xdr:row>
      <xdr:rowOff>0</xdr:rowOff>
    </xdr:from>
    <xdr:ext cx="292608" cy="292608"/>
    <xdr:pic>
      <xdr:nvPicPr>
        <xdr:cNvPr id="30" name="Picture 29">
          <a:hlinkClick xmlns:r="http://schemas.openxmlformats.org/officeDocument/2006/relationships" r:id="rId12" tooltip="Go back to simple entry"/>
          <a:extLst>
            <a:ext uri="{FF2B5EF4-FFF2-40B4-BE49-F238E27FC236}">
              <a16:creationId xmlns:a16="http://schemas.microsoft.com/office/drawing/2014/main" id="{00000000-0008-0000-0500-00001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85142" y="13631333"/>
          <a:ext cx="292608" cy="292608"/>
        </a:xfrm>
        <a:prstGeom prst="rect">
          <a:avLst/>
        </a:prstGeom>
      </xdr:spPr>
    </xdr:pic>
    <xdr:clientData/>
  </xdr:oneCellAnchor>
  <xdr:oneCellAnchor>
    <xdr:from>
      <xdr:col>2</xdr:col>
      <xdr:colOff>1209675</xdr:colOff>
      <xdr:row>45</xdr:row>
      <xdr:rowOff>0</xdr:rowOff>
    </xdr:from>
    <xdr:ext cx="292608" cy="292608"/>
    <xdr:pic>
      <xdr:nvPicPr>
        <xdr:cNvPr id="31" name="Picture 30">
          <a:hlinkClick xmlns:r="http://schemas.openxmlformats.org/officeDocument/2006/relationships" r:id="rId16" tooltip="Go to completed balance sheet"/>
          <a:extLst>
            <a:ext uri="{FF2B5EF4-FFF2-40B4-BE49-F238E27FC236}">
              <a16:creationId xmlns:a16="http://schemas.microsoft.com/office/drawing/2014/main" id="{00000000-0008-0000-0500-00001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85142" y="13631333"/>
          <a:ext cx="292608" cy="292608"/>
        </a:xfrm>
        <a:prstGeom prst="rect">
          <a:avLst/>
        </a:prstGeom>
      </xdr:spPr>
    </xdr:pic>
    <xdr:clientData/>
  </xdr:oneCellAnchor>
  <xdr:twoCellAnchor>
    <xdr:from>
      <xdr:col>1</xdr:col>
      <xdr:colOff>2209100</xdr:colOff>
      <xdr:row>1</xdr:row>
      <xdr:rowOff>191420</xdr:rowOff>
    </xdr:from>
    <xdr:to>
      <xdr:col>3</xdr:col>
      <xdr:colOff>263865</xdr:colOff>
      <xdr:row>1</xdr:row>
      <xdr:rowOff>566324</xdr:rowOff>
    </xdr:to>
    <xdr:sp macro="[0]!PrintBS_Final" textlink="">
      <xdr:nvSpPr>
        <xdr:cNvPr id="33" name="Rectangle 32">
          <a:hlinkClick xmlns:r="http://schemas.openxmlformats.org/officeDocument/2006/relationships" r:id="rId17" tooltip="Go to Balance Sheet Data Entry"/>
          <a:extLst>
            <a:ext uri="{FF2B5EF4-FFF2-40B4-BE49-F238E27FC236}">
              <a16:creationId xmlns:a16="http://schemas.microsoft.com/office/drawing/2014/main" id="{00000000-0008-0000-0500-000021000000}"/>
            </a:ext>
          </a:extLst>
        </xdr:cNvPr>
        <xdr:cNvSpPr/>
      </xdr:nvSpPr>
      <xdr:spPr>
        <a:xfrm>
          <a:off x="2394838" y="505745"/>
          <a:ext cx="2150515" cy="374904"/>
        </a:xfrm>
        <a:prstGeom prst="rect">
          <a:avLst/>
        </a:prstGeom>
        <a:solidFill>
          <a:srgbClr val="8CC05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2. Go</a:t>
          </a:r>
          <a:r>
            <a:rPr lang="en-US" sz="1400" b="1" baseline="0"/>
            <a:t> to </a:t>
          </a:r>
          <a:r>
            <a:rPr lang="en-US" sz="1400" b="1"/>
            <a:t>Inventory Entry</a:t>
          </a:r>
        </a:p>
      </xdr:txBody>
    </xdr:sp>
    <xdr:clientData fPrintsWithSheet="0"/>
  </xdr:twoCellAnchor>
  <xdr:oneCellAnchor>
    <xdr:from>
      <xdr:col>2</xdr:col>
      <xdr:colOff>1209675</xdr:colOff>
      <xdr:row>37</xdr:row>
      <xdr:rowOff>0</xdr:rowOff>
    </xdr:from>
    <xdr:ext cx="292608" cy="292608"/>
    <xdr:pic>
      <xdr:nvPicPr>
        <xdr:cNvPr id="32" name="Picture 31">
          <a:hlinkClick xmlns:r="http://schemas.openxmlformats.org/officeDocument/2006/relationships" r:id="rId7" tooltip="Go back to simple entry"/>
          <a:extLst>
            <a:ext uri="{FF2B5EF4-FFF2-40B4-BE49-F238E27FC236}">
              <a16:creationId xmlns:a16="http://schemas.microsoft.com/office/drawing/2014/main" id="{00000000-0008-0000-0500-00002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81966" y="14197541"/>
          <a:ext cx="292608" cy="292608"/>
        </a:xfrm>
        <a:prstGeom prst="rect">
          <a:avLst/>
        </a:prstGeom>
      </xdr:spPr>
    </xdr:pic>
    <xdr:clientData/>
  </xdr:oneCellAnchor>
  <xdr:oneCellAnchor>
    <xdr:from>
      <xdr:col>2</xdr:col>
      <xdr:colOff>1209675</xdr:colOff>
      <xdr:row>37</xdr:row>
      <xdr:rowOff>0</xdr:rowOff>
    </xdr:from>
    <xdr:ext cx="292608" cy="292608"/>
    <xdr:pic>
      <xdr:nvPicPr>
        <xdr:cNvPr id="34" name="Picture 33">
          <a:hlinkClick xmlns:r="http://schemas.openxmlformats.org/officeDocument/2006/relationships" r:id="rId12" tooltip="Go back to simple entry"/>
          <a:extLst>
            <a:ext uri="{FF2B5EF4-FFF2-40B4-BE49-F238E27FC236}">
              <a16:creationId xmlns:a16="http://schemas.microsoft.com/office/drawing/2014/main" id="{00000000-0008-0000-0500-00002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81966" y="14197541"/>
          <a:ext cx="292608" cy="292608"/>
        </a:xfrm>
        <a:prstGeom prst="rect">
          <a:avLst/>
        </a:prstGeom>
      </xdr:spPr>
    </xdr:pic>
    <xdr:clientData/>
  </xdr:oneCellAnchor>
  <xdr:oneCellAnchor>
    <xdr:from>
      <xdr:col>2</xdr:col>
      <xdr:colOff>1209675</xdr:colOff>
      <xdr:row>37</xdr:row>
      <xdr:rowOff>0</xdr:rowOff>
    </xdr:from>
    <xdr:ext cx="292608" cy="292608"/>
    <xdr:pic>
      <xdr:nvPicPr>
        <xdr:cNvPr id="35" name="Picture 34">
          <a:hlinkClick xmlns:r="http://schemas.openxmlformats.org/officeDocument/2006/relationships" r:id="rId18" tooltip="Go to completed balance sheet"/>
          <a:extLst>
            <a:ext uri="{FF2B5EF4-FFF2-40B4-BE49-F238E27FC236}">
              <a16:creationId xmlns:a16="http://schemas.microsoft.com/office/drawing/2014/main" id="{00000000-0008-0000-0500-00002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81966" y="14197541"/>
          <a:ext cx="292608" cy="292608"/>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8</xdr:col>
      <xdr:colOff>0</xdr:colOff>
      <xdr:row>4</xdr:row>
      <xdr:rowOff>57161</xdr:rowOff>
    </xdr:from>
    <xdr:to>
      <xdr:col>10</xdr:col>
      <xdr:colOff>368427</xdr:colOff>
      <xdr:row>7</xdr:row>
      <xdr:rowOff>144368</xdr:rowOff>
    </xdr:to>
    <xdr:sp macro="[0]!PrintBS_Final" textlink="">
      <xdr:nvSpPr>
        <xdr:cNvPr id="2" name="Rectangle 1">
          <a:hlinkClick xmlns:r="http://schemas.openxmlformats.org/officeDocument/2006/relationships" r:id="rId1" tooltip="Go to Balance Sheet Data Entry"/>
          <a:extLst>
            <a:ext uri="{FF2B5EF4-FFF2-40B4-BE49-F238E27FC236}">
              <a16:creationId xmlns:a16="http://schemas.microsoft.com/office/drawing/2014/main" id="{00000000-0008-0000-0600-000002000000}"/>
            </a:ext>
          </a:extLst>
        </xdr:cNvPr>
        <xdr:cNvSpPr/>
      </xdr:nvSpPr>
      <xdr:spPr>
        <a:xfrm>
          <a:off x="8157633" y="662528"/>
          <a:ext cx="1680761" cy="548640"/>
        </a:xfrm>
        <a:prstGeom prst="rect">
          <a:avLst/>
        </a:prstGeom>
        <a:solidFill>
          <a:srgbClr val="8CC05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1. Go</a:t>
          </a:r>
          <a:r>
            <a:rPr lang="en-US" sz="1400" b="1" baseline="0"/>
            <a:t> to </a:t>
          </a:r>
          <a:r>
            <a:rPr lang="en-US" sz="1400" b="1"/>
            <a:t>Asset</a:t>
          </a:r>
        </a:p>
        <a:p>
          <a:pPr algn="ctr"/>
          <a:r>
            <a:rPr lang="en-US" sz="1400" b="1"/>
            <a:t>Entry</a:t>
          </a:r>
        </a:p>
      </xdr:txBody>
    </xdr:sp>
    <xdr:clientData fPrintsWithSheet="0"/>
  </xdr:twoCellAnchor>
  <xdr:twoCellAnchor editAs="oneCell">
    <xdr:from>
      <xdr:col>1</xdr:col>
      <xdr:colOff>28576</xdr:colOff>
      <xdr:row>0</xdr:row>
      <xdr:rowOff>0</xdr:rowOff>
    </xdr:from>
    <xdr:to>
      <xdr:col>1</xdr:col>
      <xdr:colOff>642938</xdr:colOff>
      <xdr:row>4</xdr:row>
      <xdr:rowOff>3730</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38176" y="0"/>
          <a:ext cx="614362" cy="618093"/>
        </a:xfrm>
        <a:prstGeom prst="rect">
          <a:avLst/>
        </a:prstGeom>
      </xdr:spPr>
    </xdr:pic>
    <xdr:clientData/>
  </xdr:twoCellAnchor>
  <xdr:twoCellAnchor editAs="oneCell">
    <xdr:from>
      <xdr:col>8</xdr:col>
      <xdr:colOff>0</xdr:colOff>
      <xdr:row>24</xdr:row>
      <xdr:rowOff>38100</xdr:rowOff>
    </xdr:from>
    <xdr:to>
      <xdr:col>10</xdr:col>
      <xdr:colOff>368427</xdr:colOff>
      <xdr:row>27</xdr:row>
      <xdr:rowOff>105346</xdr:rowOff>
    </xdr:to>
    <xdr:sp macro="[0]!PrintBS_Final" textlink="">
      <xdr:nvSpPr>
        <xdr:cNvPr id="4" name="Rectangle 3">
          <a:hlinkClick xmlns:r="http://schemas.openxmlformats.org/officeDocument/2006/relationships" r:id="rId3" tooltip="Go to Income Statement &amp; Cash Flow Plan"/>
          <a:extLst>
            <a:ext uri="{FF2B5EF4-FFF2-40B4-BE49-F238E27FC236}">
              <a16:creationId xmlns:a16="http://schemas.microsoft.com/office/drawing/2014/main" id="{00000000-0008-0000-0600-000004000000}"/>
            </a:ext>
          </a:extLst>
        </xdr:cNvPr>
        <xdr:cNvSpPr/>
      </xdr:nvSpPr>
      <xdr:spPr>
        <a:xfrm>
          <a:off x="7562850" y="3733800"/>
          <a:ext cx="1587627" cy="553021"/>
        </a:xfrm>
        <a:prstGeom prst="rect">
          <a:avLst/>
        </a:prstGeom>
        <a:solidFill>
          <a:srgbClr val="4A89DC"/>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7. Go</a:t>
          </a:r>
          <a:r>
            <a:rPr lang="en-US" sz="1400" b="1" baseline="0"/>
            <a:t> to </a:t>
          </a:r>
          <a:r>
            <a:rPr lang="en-US" sz="1400" b="1"/>
            <a:t>Cash Flow Plan</a:t>
          </a:r>
        </a:p>
      </xdr:txBody>
    </xdr:sp>
    <xdr:clientData fPrintsWithSheet="0"/>
  </xdr:twoCellAnchor>
  <xdr:twoCellAnchor editAs="oneCell">
    <xdr:from>
      <xdr:col>8</xdr:col>
      <xdr:colOff>0</xdr:colOff>
      <xdr:row>0</xdr:row>
      <xdr:rowOff>133350</xdr:rowOff>
    </xdr:from>
    <xdr:to>
      <xdr:col>10</xdr:col>
      <xdr:colOff>368427</xdr:colOff>
      <xdr:row>4</xdr:row>
      <xdr:rowOff>5715</xdr:rowOff>
    </xdr:to>
    <xdr:sp macro="[0]!PrintBS_Final" textlink="">
      <xdr:nvSpPr>
        <xdr:cNvPr id="5" name="Rectangle 4">
          <a:hlinkClick xmlns:r="http://schemas.openxmlformats.org/officeDocument/2006/relationships" r:id="rId4" tooltip="Go to General Info"/>
          <a:extLst>
            <a:ext uri="{FF2B5EF4-FFF2-40B4-BE49-F238E27FC236}">
              <a16:creationId xmlns:a16="http://schemas.microsoft.com/office/drawing/2014/main" id="{00000000-0008-0000-0600-000005000000}"/>
            </a:ext>
          </a:extLst>
        </xdr:cNvPr>
        <xdr:cNvSpPr/>
      </xdr:nvSpPr>
      <xdr:spPr>
        <a:xfrm>
          <a:off x="8096250" y="133350"/>
          <a:ext cx="1673352" cy="548640"/>
        </a:xfrm>
        <a:prstGeom prst="rect">
          <a:avLst/>
        </a:prstGeom>
        <a:solidFill>
          <a:srgbClr val="F37321"/>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Go</a:t>
          </a:r>
          <a:r>
            <a:rPr lang="en-US" sz="1400" b="1" baseline="0"/>
            <a:t> to Gen Info</a:t>
          </a:r>
          <a:endParaRPr lang="en-US" sz="1400" b="1"/>
        </a:p>
      </xdr:txBody>
    </xdr:sp>
    <xdr:clientData fPrintsWithSheet="0"/>
  </xdr:twoCellAnchor>
  <xdr:twoCellAnchor editAs="oneCell">
    <xdr:from>
      <xdr:col>8</xdr:col>
      <xdr:colOff>0</xdr:colOff>
      <xdr:row>11</xdr:row>
      <xdr:rowOff>159810</xdr:rowOff>
    </xdr:from>
    <xdr:to>
      <xdr:col>10</xdr:col>
      <xdr:colOff>368427</xdr:colOff>
      <xdr:row>15</xdr:row>
      <xdr:rowOff>64983</xdr:rowOff>
    </xdr:to>
    <xdr:sp macro="[0]!PrintBS_Final" textlink="">
      <xdr:nvSpPr>
        <xdr:cNvPr id="6" name="Rectangle 5">
          <a:hlinkClick xmlns:r="http://schemas.openxmlformats.org/officeDocument/2006/relationships" r:id="rId5" tooltip="Go to Balance Sheet Data Entry"/>
          <a:extLst>
            <a:ext uri="{FF2B5EF4-FFF2-40B4-BE49-F238E27FC236}">
              <a16:creationId xmlns:a16="http://schemas.microsoft.com/office/drawing/2014/main" id="{00000000-0008-0000-0600-000006000000}"/>
            </a:ext>
          </a:extLst>
        </xdr:cNvPr>
        <xdr:cNvSpPr/>
      </xdr:nvSpPr>
      <xdr:spPr>
        <a:xfrm>
          <a:off x="7562850" y="1912410"/>
          <a:ext cx="1587627" cy="552873"/>
        </a:xfrm>
        <a:prstGeom prst="rect">
          <a:avLst/>
        </a:prstGeom>
        <a:solidFill>
          <a:srgbClr val="8CC05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3. Go</a:t>
          </a:r>
          <a:r>
            <a:rPr lang="en-US" sz="1400" b="1" baseline="0"/>
            <a:t> to </a:t>
          </a:r>
          <a:r>
            <a:rPr lang="en-US" sz="1400" b="1"/>
            <a:t>Liability</a:t>
          </a:r>
        </a:p>
        <a:p>
          <a:pPr algn="ctr"/>
          <a:r>
            <a:rPr lang="en-US" sz="1400" b="1"/>
            <a:t>Entry</a:t>
          </a:r>
        </a:p>
      </xdr:txBody>
    </xdr:sp>
    <xdr:clientData fPrintsWithSheet="0"/>
  </xdr:twoCellAnchor>
  <xdr:twoCellAnchor editAs="oneCell">
    <xdr:from>
      <xdr:col>8</xdr:col>
      <xdr:colOff>0</xdr:colOff>
      <xdr:row>15</xdr:row>
      <xdr:rowOff>123833</xdr:rowOff>
    </xdr:from>
    <xdr:to>
      <xdr:col>10</xdr:col>
      <xdr:colOff>368427</xdr:colOff>
      <xdr:row>19</xdr:row>
      <xdr:rowOff>84040</xdr:rowOff>
    </xdr:to>
    <xdr:sp macro="[0]!PrintBS_Final" textlink="">
      <xdr:nvSpPr>
        <xdr:cNvPr id="7" name="Rectangle 6">
          <a:hlinkClick xmlns:r="http://schemas.openxmlformats.org/officeDocument/2006/relationships" r:id="rId6" tooltip="Go to Balance Sheet Data Entry"/>
          <a:extLst>
            <a:ext uri="{FF2B5EF4-FFF2-40B4-BE49-F238E27FC236}">
              <a16:creationId xmlns:a16="http://schemas.microsoft.com/office/drawing/2014/main" id="{00000000-0008-0000-0600-000007000000}"/>
            </a:ext>
          </a:extLst>
        </xdr:cNvPr>
        <xdr:cNvSpPr/>
      </xdr:nvSpPr>
      <xdr:spPr>
        <a:xfrm>
          <a:off x="7562850" y="2505083"/>
          <a:ext cx="1587627" cy="550757"/>
        </a:xfrm>
        <a:prstGeom prst="rect">
          <a:avLst/>
        </a:prstGeom>
        <a:solidFill>
          <a:srgbClr val="8CC05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4. Go</a:t>
          </a:r>
          <a:r>
            <a:rPr lang="en-US" sz="1400" b="1" baseline="0"/>
            <a:t> to </a:t>
          </a:r>
          <a:r>
            <a:rPr lang="en-US" sz="1400" b="1"/>
            <a:t>Loan</a:t>
          </a:r>
        </a:p>
        <a:p>
          <a:pPr algn="ctr"/>
          <a:r>
            <a:rPr lang="en-US" sz="1400" b="1" baseline="0"/>
            <a:t>Entry</a:t>
          </a:r>
          <a:endParaRPr lang="en-US" sz="1400" b="1"/>
        </a:p>
      </xdr:txBody>
    </xdr:sp>
    <xdr:clientData fPrintsWithSheet="0"/>
  </xdr:twoCellAnchor>
  <xdr:twoCellAnchor editAs="oneCell">
    <xdr:from>
      <xdr:col>8</xdr:col>
      <xdr:colOff>0</xdr:colOff>
      <xdr:row>40</xdr:row>
      <xdr:rowOff>87851</xdr:rowOff>
    </xdr:from>
    <xdr:to>
      <xdr:col>10</xdr:col>
      <xdr:colOff>368427</xdr:colOff>
      <xdr:row>50</xdr:row>
      <xdr:rowOff>150557</xdr:rowOff>
    </xdr:to>
    <xdr:sp macro="[0]!PrintBS_Final" textlink="">
      <xdr:nvSpPr>
        <xdr:cNvPr id="8" name="Rectangle 7">
          <a:hlinkClick xmlns:r="http://schemas.openxmlformats.org/officeDocument/2006/relationships" r:id="rId7" tooltip="Go to Online Help Video"/>
          <a:extLst>
            <a:ext uri="{FF2B5EF4-FFF2-40B4-BE49-F238E27FC236}">
              <a16:creationId xmlns:a16="http://schemas.microsoft.com/office/drawing/2014/main" id="{00000000-0008-0000-0600-000008000000}"/>
            </a:ext>
          </a:extLst>
        </xdr:cNvPr>
        <xdr:cNvSpPr/>
      </xdr:nvSpPr>
      <xdr:spPr>
        <a:xfrm>
          <a:off x="7562850" y="6050501"/>
          <a:ext cx="1587627" cy="908050"/>
        </a:xfrm>
        <a:prstGeom prst="rect">
          <a:avLst/>
        </a:prstGeom>
        <a:solidFill>
          <a:srgbClr val="F37321"/>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View the</a:t>
          </a:r>
          <a:r>
            <a:rPr lang="en-US" sz="1400" b="1" baseline="0"/>
            <a:t> How to Use -Balance Sheet help video </a:t>
          </a:r>
        </a:p>
        <a:p>
          <a:pPr algn="ctr"/>
          <a:r>
            <a:rPr lang="en-US" sz="1400" b="1" baseline="0"/>
            <a:t>(opens browser)</a:t>
          </a:r>
          <a:endParaRPr lang="en-US" sz="1400" b="1"/>
        </a:p>
      </xdr:txBody>
    </xdr:sp>
    <xdr:clientData fPrintsWithSheet="0"/>
  </xdr:twoCellAnchor>
  <xdr:twoCellAnchor editAs="oneCell">
    <xdr:from>
      <xdr:col>8</xdr:col>
      <xdr:colOff>0</xdr:colOff>
      <xdr:row>27</xdr:row>
      <xdr:rowOff>138113</xdr:rowOff>
    </xdr:from>
    <xdr:to>
      <xdr:col>10</xdr:col>
      <xdr:colOff>368427</xdr:colOff>
      <xdr:row>31</xdr:row>
      <xdr:rowOff>172022</xdr:rowOff>
    </xdr:to>
    <xdr:sp macro="[0]!PrintBS_Final" textlink="">
      <xdr:nvSpPr>
        <xdr:cNvPr id="10" name="Rectangle 9">
          <a:hlinkClick xmlns:r="http://schemas.openxmlformats.org/officeDocument/2006/relationships" r:id="rId8" tooltip="Go to Balance Sheet Data Entry"/>
          <a:extLst>
            <a:ext uri="{FF2B5EF4-FFF2-40B4-BE49-F238E27FC236}">
              <a16:creationId xmlns:a16="http://schemas.microsoft.com/office/drawing/2014/main" id="{00000000-0008-0000-0600-00000A000000}"/>
            </a:ext>
          </a:extLst>
        </xdr:cNvPr>
        <xdr:cNvSpPr/>
      </xdr:nvSpPr>
      <xdr:spPr>
        <a:xfrm>
          <a:off x="7562850" y="4319588"/>
          <a:ext cx="1587627" cy="557784"/>
        </a:xfrm>
        <a:prstGeom prst="rect">
          <a:avLst/>
        </a:prstGeom>
        <a:solidFill>
          <a:srgbClr val="434953"/>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8. Go</a:t>
          </a:r>
          <a:r>
            <a:rPr lang="en-US" sz="1400" b="1" baseline="0"/>
            <a:t> to Proposed Loans</a:t>
          </a:r>
          <a:endParaRPr lang="en-US" sz="1400" b="1"/>
        </a:p>
      </xdr:txBody>
    </xdr:sp>
    <xdr:clientData fPrintsWithSheet="0"/>
  </xdr:twoCellAnchor>
  <xdr:twoCellAnchor editAs="oneCell">
    <xdr:from>
      <xdr:col>8</xdr:col>
      <xdr:colOff>0</xdr:colOff>
      <xdr:row>32</xdr:row>
      <xdr:rowOff>76195</xdr:rowOff>
    </xdr:from>
    <xdr:to>
      <xdr:col>10</xdr:col>
      <xdr:colOff>368427</xdr:colOff>
      <xdr:row>39</xdr:row>
      <xdr:rowOff>12060</xdr:rowOff>
    </xdr:to>
    <xdr:sp macro="[0]!PrintBS_Final" textlink="">
      <xdr:nvSpPr>
        <xdr:cNvPr id="12" name="Rectangle 11">
          <a:hlinkClick xmlns:r="http://schemas.openxmlformats.org/officeDocument/2006/relationships" r:id="rId9"/>
          <a:extLst>
            <a:ext uri="{FF2B5EF4-FFF2-40B4-BE49-F238E27FC236}">
              <a16:creationId xmlns:a16="http://schemas.microsoft.com/office/drawing/2014/main" id="{00000000-0008-0000-0600-00000C000000}"/>
            </a:ext>
          </a:extLst>
        </xdr:cNvPr>
        <xdr:cNvSpPr/>
      </xdr:nvSpPr>
      <xdr:spPr>
        <a:xfrm>
          <a:off x="7562850" y="4972045"/>
          <a:ext cx="1587627" cy="1026478"/>
        </a:xfrm>
        <a:prstGeom prst="rect">
          <a:avLst/>
        </a:prstGeom>
        <a:solidFill>
          <a:srgbClr val="FFFF00"/>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i="1">
              <a:solidFill>
                <a:sysClr val="windowText" lastClr="000000"/>
              </a:solidFill>
            </a:rPr>
            <a:t>This is the print version of your balance sheet. Hit Ctrl P to print</a:t>
          </a:r>
        </a:p>
      </xdr:txBody>
    </xdr:sp>
    <xdr:clientData fPrintsWithSheet="0"/>
  </xdr:twoCellAnchor>
  <xdr:twoCellAnchor editAs="absolute">
    <xdr:from>
      <xdr:col>8</xdr:col>
      <xdr:colOff>0</xdr:colOff>
      <xdr:row>8</xdr:row>
      <xdr:rowOff>61384</xdr:rowOff>
    </xdr:from>
    <xdr:to>
      <xdr:col>10</xdr:col>
      <xdr:colOff>370162</xdr:colOff>
      <xdr:row>11</xdr:row>
      <xdr:rowOff>127424</xdr:rowOff>
    </xdr:to>
    <xdr:sp macro="[0]!PrintBS_Final" textlink="">
      <xdr:nvSpPr>
        <xdr:cNvPr id="11" name="Rectangle 10">
          <a:hlinkClick xmlns:r="http://schemas.openxmlformats.org/officeDocument/2006/relationships" r:id="rId10" tooltip="Go to Balance Sheet Data Entry"/>
          <a:extLst>
            <a:ext uri="{FF2B5EF4-FFF2-40B4-BE49-F238E27FC236}">
              <a16:creationId xmlns:a16="http://schemas.microsoft.com/office/drawing/2014/main" id="{00000000-0008-0000-0600-00000B000000}"/>
            </a:ext>
          </a:extLst>
        </xdr:cNvPr>
        <xdr:cNvSpPr/>
      </xdr:nvSpPr>
      <xdr:spPr>
        <a:xfrm>
          <a:off x="7562850" y="1309159"/>
          <a:ext cx="1589362" cy="551815"/>
        </a:xfrm>
        <a:prstGeom prst="rect">
          <a:avLst/>
        </a:prstGeom>
        <a:solidFill>
          <a:srgbClr val="8CC05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2. Go</a:t>
          </a:r>
          <a:r>
            <a:rPr lang="en-US" sz="1400" b="1" baseline="0"/>
            <a:t> to </a:t>
          </a:r>
          <a:r>
            <a:rPr lang="en-US" sz="1400" b="1"/>
            <a:t>Inventory Entry</a:t>
          </a:r>
        </a:p>
      </xdr:txBody>
    </xdr:sp>
    <xdr:clientData fPrintsWithSheet="0"/>
  </xdr:twoCellAnchor>
  <xdr:twoCellAnchor>
    <xdr:from>
      <xdr:col>8</xdr:col>
      <xdr:colOff>0</xdr:colOff>
      <xdr:row>50</xdr:row>
      <xdr:rowOff>79375</xdr:rowOff>
    </xdr:from>
    <xdr:to>
      <xdr:col>10</xdr:col>
      <xdr:colOff>370162</xdr:colOff>
      <xdr:row>54</xdr:row>
      <xdr:rowOff>64346</xdr:rowOff>
    </xdr:to>
    <xdr:sp macro="[0]!PrintBS_Final" textlink="">
      <xdr:nvSpPr>
        <xdr:cNvPr id="13" name="Rectangle 12">
          <a:hlinkClick xmlns:r="http://schemas.openxmlformats.org/officeDocument/2006/relationships" r:id="rId11" tooltip="Go to Balance Sheet Data Entry"/>
          <a:extLst>
            <a:ext uri="{FF2B5EF4-FFF2-40B4-BE49-F238E27FC236}">
              <a16:creationId xmlns:a16="http://schemas.microsoft.com/office/drawing/2014/main" id="{00000000-0008-0000-0600-00000D000000}"/>
            </a:ext>
          </a:extLst>
        </xdr:cNvPr>
        <xdr:cNvSpPr/>
      </xdr:nvSpPr>
      <xdr:spPr>
        <a:xfrm>
          <a:off x="7562850" y="7013575"/>
          <a:ext cx="1589362" cy="632671"/>
        </a:xfrm>
        <a:prstGeom prst="rect">
          <a:avLst/>
        </a:prstGeom>
        <a:solidFill>
          <a:schemeClr val="accent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ln>
                <a:noFill/>
              </a:ln>
            </a:rPr>
            <a:t>Go</a:t>
          </a:r>
          <a:r>
            <a:rPr lang="en-US" sz="1400" b="1" baseline="0">
              <a:ln>
                <a:noFill/>
              </a:ln>
            </a:rPr>
            <a:t> to Financial Scorecard</a:t>
          </a:r>
          <a:endParaRPr lang="en-US" sz="1400" b="1">
            <a:ln>
              <a:noFill/>
            </a:ln>
          </a:endParaRPr>
        </a:p>
      </xdr:txBody>
    </xdr:sp>
    <xdr:clientData/>
  </xdr:twoCellAnchor>
  <xdr:twoCellAnchor>
    <xdr:from>
      <xdr:col>8</xdr:col>
      <xdr:colOff>0</xdr:colOff>
      <xdr:row>54</xdr:row>
      <xdr:rowOff>152400</xdr:rowOff>
    </xdr:from>
    <xdr:to>
      <xdr:col>10</xdr:col>
      <xdr:colOff>370162</xdr:colOff>
      <xdr:row>59</xdr:row>
      <xdr:rowOff>34036</xdr:rowOff>
    </xdr:to>
    <xdr:sp macro="[0]!PrintBS_Final" textlink="">
      <xdr:nvSpPr>
        <xdr:cNvPr id="14" name="Rectangle 13">
          <a:hlinkClick xmlns:r="http://schemas.openxmlformats.org/officeDocument/2006/relationships" r:id="rId12" tooltip="Go to the Financial Scorecard"/>
          <a:extLst>
            <a:ext uri="{FF2B5EF4-FFF2-40B4-BE49-F238E27FC236}">
              <a16:creationId xmlns:a16="http://schemas.microsoft.com/office/drawing/2014/main" id="{00000000-0008-0000-0600-00000E000000}"/>
            </a:ext>
          </a:extLst>
        </xdr:cNvPr>
        <xdr:cNvSpPr/>
      </xdr:nvSpPr>
      <xdr:spPr>
        <a:xfrm>
          <a:off x="7562850" y="7734300"/>
          <a:ext cx="1589362" cy="634111"/>
        </a:xfrm>
        <a:prstGeom prst="rect">
          <a:avLst/>
        </a:prstGeom>
        <a:solidFill>
          <a:schemeClr val="accent4"/>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ln>
                <a:noFill/>
              </a:ln>
            </a:rPr>
            <a:t>Go</a:t>
          </a:r>
          <a:r>
            <a:rPr lang="en-US" sz="1400" b="1" baseline="0">
              <a:ln>
                <a:noFill/>
              </a:ln>
            </a:rPr>
            <a:t> to Financial Dashboard</a:t>
          </a:r>
          <a:endParaRPr lang="en-US" sz="1400" b="1">
            <a:ln>
              <a:noFill/>
            </a:ln>
          </a:endParaRPr>
        </a:p>
      </xdr:txBody>
    </xdr:sp>
    <xdr:clientData/>
  </xdr:twoCellAnchor>
  <xdr:twoCellAnchor editAs="oneCell">
    <xdr:from>
      <xdr:col>8</xdr:col>
      <xdr:colOff>0</xdr:colOff>
      <xdr:row>20</xdr:row>
      <xdr:rowOff>0</xdr:rowOff>
    </xdr:from>
    <xdr:to>
      <xdr:col>10</xdr:col>
      <xdr:colOff>371856</xdr:colOff>
      <xdr:row>23</xdr:row>
      <xdr:rowOff>62865</xdr:rowOff>
    </xdr:to>
    <xdr:sp macro="[0]!PrintBS_Final" textlink="">
      <xdr:nvSpPr>
        <xdr:cNvPr id="15" name="Rectangle 14">
          <a:hlinkClick xmlns:r="http://schemas.openxmlformats.org/officeDocument/2006/relationships" r:id="rId13" tooltip="Go to General Info"/>
          <a:extLst>
            <a:ext uri="{FF2B5EF4-FFF2-40B4-BE49-F238E27FC236}">
              <a16:creationId xmlns:a16="http://schemas.microsoft.com/office/drawing/2014/main" id="{00000000-0008-0000-0600-00000F000000}"/>
            </a:ext>
          </a:extLst>
        </xdr:cNvPr>
        <xdr:cNvSpPr/>
      </xdr:nvSpPr>
      <xdr:spPr>
        <a:xfrm>
          <a:off x="7562850" y="3133725"/>
          <a:ext cx="1591056" cy="548640"/>
        </a:xfrm>
        <a:prstGeom prst="rect">
          <a:avLst/>
        </a:prstGeom>
        <a:solidFill>
          <a:srgbClr val="FF0000"/>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6.</a:t>
          </a:r>
          <a:r>
            <a:rPr lang="en-US" sz="1400" b="1" baseline="0"/>
            <a:t> Go to </a:t>
          </a:r>
          <a:r>
            <a:rPr lang="en-US" sz="1400" b="1"/>
            <a:t>Schedule</a:t>
          </a:r>
          <a:r>
            <a:rPr lang="en-US" sz="1400" b="1" baseline="0"/>
            <a:t> </a:t>
          </a:r>
          <a:r>
            <a:rPr lang="en-US" sz="1400" b="1"/>
            <a:t>F Data Entry</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303289</xdr:colOff>
      <xdr:row>4</xdr:row>
      <xdr:rowOff>75749</xdr:rowOff>
    </xdr:to>
    <xdr:pic>
      <xdr:nvPicPr>
        <xdr:cNvPr id="4" name="Picture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6957" y="157843"/>
          <a:ext cx="646190" cy="625477"/>
        </a:xfrm>
        <a:prstGeom prst="rect">
          <a:avLst/>
        </a:prstGeom>
      </xdr:spPr>
    </xdr:pic>
    <xdr:clientData/>
  </xdr:twoCellAnchor>
  <xdr:twoCellAnchor editAs="oneCell">
    <xdr:from>
      <xdr:col>6</xdr:col>
      <xdr:colOff>161250</xdr:colOff>
      <xdr:row>1</xdr:row>
      <xdr:rowOff>0</xdr:rowOff>
    </xdr:from>
    <xdr:to>
      <xdr:col>8</xdr:col>
      <xdr:colOff>558960</xdr:colOff>
      <xdr:row>3</xdr:row>
      <xdr:rowOff>145869</xdr:rowOff>
    </xdr:to>
    <xdr:sp macro="[0]!PrintBS_Final" textlink="">
      <xdr:nvSpPr>
        <xdr:cNvPr id="5" name="Rectangle 4">
          <a:hlinkClick xmlns:r="http://schemas.openxmlformats.org/officeDocument/2006/relationships" r:id="rId2" tooltip="Go to General Info"/>
          <a:extLst>
            <a:ext uri="{FF2B5EF4-FFF2-40B4-BE49-F238E27FC236}">
              <a16:creationId xmlns:a16="http://schemas.microsoft.com/office/drawing/2014/main" id="{00000000-0008-0000-0800-000005000000}"/>
            </a:ext>
          </a:extLst>
        </xdr:cNvPr>
        <xdr:cNvSpPr/>
      </xdr:nvSpPr>
      <xdr:spPr>
        <a:xfrm>
          <a:off x="7236964" y="157843"/>
          <a:ext cx="1693110" cy="526869"/>
        </a:xfrm>
        <a:prstGeom prst="rect">
          <a:avLst/>
        </a:prstGeom>
        <a:solidFill>
          <a:srgbClr val="F37321"/>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Go</a:t>
          </a:r>
          <a:r>
            <a:rPr lang="en-US" sz="1400" b="1" baseline="0"/>
            <a:t> to Gen Info</a:t>
          </a:r>
          <a:endParaRPr lang="en-US" sz="1400" b="1"/>
        </a:p>
      </xdr:txBody>
    </xdr:sp>
    <xdr:clientData fPrintsWithSheet="0"/>
  </xdr:twoCellAnchor>
  <xdr:twoCellAnchor editAs="oneCell">
    <xdr:from>
      <xdr:col>5</xdr:col>
      <xdr:colOff>0</xdr:colOff>
      <xdr:row>6</xdr:row>
      <xdr:rowOff>0</xdr:rowOff>
    </xdr:from>
    <xdr:to>
      <xdr:col>6</xdr:col>
      <xdr:colOff>40005</xdr:colOff>
      <xdr:row>6</xdr:row>
      <xdr:rowOff>182880</xdr:rowOff>
    </xdr:to>
    <xdr:pic>
      <xdr:nvPicPr>
        <xdr:cNvPr id="6" name="Picture 5">
          <a:hlinkClick xmlns:r="http://schemas.openxmlformats.org/officeDocument/2006/relationships" r:id="rId3" tooltip="Go back to annual summary"/>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923314" y="1050471"/>
          <a:ext cx="192405" cy="182880"/>
        </a:xfrm>
        <a:prstGeom prst="rect">
          <a:avLst/>
        </a:prstGeom>
      </xdr:spPr>
    </xdr:pic>
    <xdr:clientData fPrintsWithSheet="0"/>
  </xdr:twoCellAnchor>
  <xdr:twoCellAnchor editAs="oneCell">
    <xdr:from>
      <xdr:col>6</xdr:col>
      <xdr:colOff>146969</xdr:colOff>
      <xdr:row>4</xdr:row>
      <xdr:rowOff>38100</xdr:rowOff>
    </xdr:from>
    <xdr:to>
      <xdr:col>8</xdr:col>
      <xdr:colOff>543209</xdr:colOff>
      <xdr:row>7</xdr:row>
      <xdr:rowOff>116206</xdr:rowOff>
    </xdr:to>
    <xdr:sp macro="[0]!PrintBS_Final" textlink="">
      <xdr:nvSpPr>
        <xdr:cNvPr id="7" name="Rectangle 6">
          <a:hlinkClick xmlns:r="http://schemas.openxmlformats.org/officeDocument/2006/relationships" r:id="rId3" tooltip="Go to General Info"/>
          <a:extLst>
            <a:ext uri="{FF2B5EF4-FFF2-40B4-BE49-F238E27FC236}">
              <a16:creationId xmlns:a16="http://schemas.microsoft.com/office/drawing/2014/main" id="{00000000-0008-0000-0800-000007000000}"/>
            </a:ext>
          </a:extLst>
        </xdr:cNvPr>
        <xdr:cNvSpPr/>
      </xdr:nvSpPr>
      <xdr:spPr>
        <a:xfrm>
          <a:off x="7222683" y="734786"/>
          <a:ext cx="1691640" cy="627834"/>
        </a:xfrm>
        <a:prstGeom prst="rect">
          <a:avLst/>
        </a:prstGeom>
        <a:solidFill>
          <a:srgbClr val="FF0000"/>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Go to Schedule</a:t>
          </a:r>
          <a:br>
            <a:rPr lang="en-US" sz="1400" b="1"/>
          </a:br>
          <a:r>
            <a:rPr lang="en-US" sz="1400" b="1"/>
            <a:t> F Analysis</a:t>
          </a:r>
        </a:p>
      </xdr:txBody>
    </xdr:sp>
    <xdr:clientData fPrintsWithSheet="0"/>
  </xdr:twoCellAnchor>
  <xdr:twoCellAnchor editAs="oneCell">
    <xdr:from>
      <xdr:col>5</xdr:col>
      <xdr:colOff>0</xdr:colOff>
      <xdr:row>93</xdr:row>
      <xdr:rowOff>10998</xdr:rowOff>
    </xdr:from>
    <xdr:to>
      <xdr:col>6</xdr:col>
      <xdr:colOff>40005</xdr:colOff>
      <xdr:row>93</xdr:row>
      <xdr:rowOff>193878</xdr:rowOff>
    </xdr:to>
    <xdr:pic>
      <xdr:nvPicPr>
        <xdr:cNvPr id="8" name="Picture 7">
          <a:hlinkClick xmlns:r="http://schemas.openxmlformats.org/officeDocument/2006/relationships" r:id="rId5" tooltip="Go back to annual summary"/>
          <a:extLst>
            <a:ext uri="{FF2B5EF4-FFF2-40B4-BE49-F238E27FC236}">
              <a16:creationId xmlns:a16="http://schemas.microsoft.com/office/drawing/2014/main" id="{00000000-0008-0000-0800-00000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923314" y="17096127"/>
          <a:ext cx="192405" cy="182880"/>
        </a:xfrm>
        <a:prstGeom prst="rect">
          <a:avLst/>
        </a:prstGeom>
      </xdr:spPr>
    </xdr:pic>
    <xdr:clientData fPrintsWithSheet="0"/>
  </xdr:twoCellAnchor>
  <xdr:twoCellAnchor editAs="oneCell">
    <xdr:from>
      <xdr:col>6</xdr:col>
      <xdr:colOff>146969</xdr:colOff>
      <xdr:row>91</xdr:row>
      <xdr:rowOff>81756</xdr:rowOff>
    </xdr:from>
    <xdr:to>
      <xdr:col>8</xdr:col>
      <xdr:colOff>543209</xdr:colOff>
      <xdr:row>94</xdr:row>
      <xdr:rowOff>113597</xdr:rowOff>
    </xdr:to>
    <xdr:sp macro="[0]!PrintBS_Final" textlink="">
      <xdr:nvSpPr>
        <xdr:cNvPr id="9" name="Rectangle 8">
          <a:hlinkClick xmlns:r="http://schemas.openxmlformats.org/officeDocument/2006/relationships" r:id="rId3" tooltip="Go to General Info"/>
          <a:extLst>
            <a:ext uri="{FF2B5EF4-FFF2-40B4-BE49-F238E27FC236}">
              <a16:creationId xmlns:a16="http://schemas.microsoft.com/office/drawing/2014/main" id="{00000000-0008-0000-0800-000009000000}"/>
            </a:ext>
          </a:extLst>
        </xdr:cNvPr>
        <xdr:cNvSpPr/>
      </xdr:nvSpPr>
      <xdr:spPr>
        <a:xfrm>
          <a:off x="7222683" y="16780442"/>
          <a:ext cx="1691640" cy="627834"/>
        </a:xfrm>
        <a:prstGeom prst="rect">
          <a:avLst/>
        </a:prstGeom>
        <a:solidFill>
          <a:srgbClr val="FF0000"/>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Go to Schedule</a:t>
          </a:r>
          <a:br>
            <a:rPr lang="en-US" sz="1400" b="1"/>
          </a:br>
          <a:r>
            <a:rPr lang="en-US" sz="1400" b="1"/>
            <a:t> F Analysis</a:t>
          </a:r>
        </a:p>
      </xdr:txBody>
    </xdr:sp>
    <xdr:clientData fPrintsWithSheet="0"/>
  </xdr:twoCellAnchor>
  <xdr:twoCellAnchor editAs="oneCell">
    <xdr:from>
      <xdr:col>5</xdr:col>
      <xdr:colOff>0</xdr:colOff>
      <xdr:row>79</xdr:row>
      <xdr:rowOff>0</xdr:rowOff>
    </xdr:from>
    <xdr:to>
      <xdr:col>6</xdr:col>
      <xdr:colOff>40005</xdr:colOff>
      <xdr:row>79</xdr:row>
      <xdr:rowOff>182880</xdr:rowOff>
    </xdr:to>
    <xdr:pic>
      <xdr:nvPicPr>
        <xdr:cNvPr id="10" name="Picture 9">
          <a:hlinkClick xmlns:r="http://schemas.openxmlformats.org/officeDocument/2006/relationships" r:id="rId6" tooltip="Go back to annual summary"/>
          <a:extLst>
            <a:ext uri="{FF2B5EF4-FFF2-40B4-BE49-F238E27FC236}">
              <a16:creationId xmlns:a16="http://schemas.microsoft.com/office/drawing/2014/main" id="{00000000-0008-0000-0800-00000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524625" y="14706600"/>
          <a:ext cx="182880" cy="182880"/>
        </a:xfrm>
        <a:prstGeom prst="rect">
          <a:avLst/>
        </a:prstGeom>
      </xdr:spPr>
    </xdr:pic>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2.xml"/><Relationship Id="rId1" Type="http://schemas.openxmlformats.org/officeDocument/2006/relationships/printerSettings" Target="../printerSettings/printerSettings10.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5.xml"/><Relationship Id="rId1" Type="http://schemas.openxmlformats.org/officeDocument/2006/relationships/printerSettings" Target="../printerSettings/printerSettings12.bin"/><Relationship Id="rId4" Type="http://schemas.openxmlformats.org/officeDocument/2006/relationships/ctrlProp" Target="../ctrlProps/ctrlProp7.xm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13.bin"/><Relationship Id="rId1" Type="http://schemas.openxmlformats.org/officeDocument/2006/relationships/hyperlink" Target="http://ans.farm/FinancialScorecard" TargetMode="External"/><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vmlDrawing" Target="../drawings/vmlDrawing7.v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trlProp" Target="../ctrlProps/ctrlProp13.xml"/><Relationship Id="rId2" Type="http://schemas.openxmlformats.org/officeDocument/2006/relationships/drawing" Target="../drawings/drawing21.xml"/><Relationship Id="rId1" Type="http://schemas.openxmlformats.org/officeDocument/2006/relationships/printerSettings" Target="../printerSettings/printerSettings14.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N25"/>
  <sheetViews>
    <sheetView showGridLines="0" tabSelected="1" workbookViewId="0">
      <selection activeCell="D5" sqref="D5"/>
    </sheetView>
  </sheetViews>
  <sheetFormatPr defaultRowHeight="12.75" x14ac:dyDescent="0.2"/>
  <cols>
    <col min="2" max="2" width="7.140625" customWidth="1"/>
    <col min="3" max="3" width="5.5703125" customWidth="1"/>
    <col min="5" max="5" width="6.7109375" customWidth="1"/>
    <col min="6" max="6" width="2.140625" customWidth="1"/>
    <col min="7" max="7" width="2" customWidth="1"/>
    <col min="8" max="8" width="1.28515625" customWidth="1"/>
    <col min="9" max="9" width="20.140625" customWidth="1"/>
    <col min="10" max="10" width="4.28515625" customWidth="1"/>
    <col min="11" max="11" width="31" customWidth="1"/>
    <col min="12" max="12" width="2.28515625" customWidth="1"/>
  </cols>
  <sheetData>
    <row r="2" spans="9:11" ht="15.75" x14ac:dyDescent="0.25">
      <c r="I2" s="59" t="s">
        <v>73</v>
      </c>
      <c r="K2" s="211">
        <f ca="1">TODAY()</f>
        <v>44307</v>
      </c>
    </row>
    <row r="3" spans="9:11" x14ac:dyDescent="0.2">
      <c r="K3" s="68"/>
    </row>
    <row r="4" spans="9:11" ht="15.75" x14ac:dyDescent="0.25">
      <c r="I4" s="58" t="s">
        <v>60</v>
      </c>
      <c r="K4" s="564"/>
    </row>
    <row r="5" spans="9:11" ht="15.75" x14ac:dyDescent="0.25">
      <c r="I5" s="59" t="s">
        <v>507</v>
      </c>
      <c r="K5" s="564"/>
    </row>
    <row r="6" spans="9:11" ht="15.75" x14ac:dyDescent="0.25">
      <c r="I6" s="59" t="s">
        <v>63</v>
      </c>
      <c r="K6" s="564"/>
    </row>
    <row r="7" spans="9:11" ht="15.75" x14ac:dyDescent="0.25">
      <c r="I7" s="59" t="s">
        <v>61</v>
      </c>
      <c r="K7" s="564"/>
    </row>
    <row r="8" spans="9:11" ht="15.75" x14ac:dyDescent="0.25">
      <c r="I8" s="59" t="s">
        <v>62</v>
      </c>
      <c r="K8" s="564"/>
    </row>
    <row r="9" spans="9:11" ht="15.75" x14ac:dyDescent="0.25">
      <c r="I9" s="59" t="s">
        <v>64</v>
      </c>
      <c r="K9" s="565"/>
    </row>
    <row r="10" spans="9:11" ht="15.75" x14ac:dyDescent="0.25">
      <c r="I10" s="59"/>
      <c r="K10" s="837"/>
    </row>
    <row r="11" spans="9:11" ht="15.75" x14ac:dyDescent="0.25">
      <c r="I11" s="59" t="s">
        <v>514</v>
      </c>
      <c r="K11" s="838"/>
    </row>
    <row r="12" spans="9:11" x14ac:dyDescent="0.2">
      <c r="I12" s="59"/>
      <c r="K12" s="207"/>
    </row>
    <row r="13" spans="9:11" ht="15.75" x14ac:dyDescent="0.25">
      <c r="I13" s="59" t="s">
        <v>126</v>
      </c>
      <c r="K13" s="566"/>
    </row>
    <row r="14" spans="9:11" ht="15.75" x14ac:dyDescent="0.25">
      <c r="I14" s="59"/>
      <c r="K14" s="563"/>
    </row>
    <row r="15" spans="9:11" ht="26.25" customHeight="1" x14ac:dyDescent="0.25">
      <c r="I15" s="551" t="s">
        <v>392</v>
      </c>
      <c r="K15" s="566">
        <v>1</v>
      </c>
    </row>
    <row r="16" spans="9:11" x14ac:dyDescent="0.2">
      <c r="I16" s="58"/>
    </row>
    <row r="17" spans="1:14" ht="26.25" customHeight="1" x14ac:dyDescent="0.25">
      <c r="I17" s="551" t="s">
        <v>261</v>
      </c>
      <c r="K17" s="566" t="str">
        <f>IF(ISNUMBER(L17)=TRUE,INDEX(Inputs!$A$18:$A$20,L17),INDEX(Inputs!$A$18:$C$20,MATCH(L17,Inputs!$C$18:$C$20,0),1))</f>
        <v>Direct to processor</v>
      </c>
      <c r="L17" s="209">
        <v>1</v>
      </c>
    </row>
    <row r="19" spans="1:14" ht="26.25" customHeight="1" x14ac:dyDescent="0.2">
      <c r="G19" s="1257" t="s">
        <v>158</v>
      </c>
      <c r="H19" s="1258"/>
      <c r="I19" s="1258"/>
      <c r="J19" s="1258"/>
      <c r="K19" s="208" t="str">
        <f>IF(ISNUMBER(L22)=TRUE,INDEX(ProjPersText,L22),INDEX(ProjPersText,MATCH(L22,ProjPersText)))</f>
        <v>Both Business and Personal</v>
      </c>
      <c r="L19" s="210">
        <v>2</v>
      </c>
    </row>
    <row r="20" spans="1:14" x14ac:dyDescent="0.2">
      <c r="G20" s="1259"/>
      <c r="H20" s="1260"/>
      <c r="I20" s="1260"/>
      <c r="J20" s="1260"/>
      <c r="K20" s="175" t="str">
        <f>IF(ProjPersonal="Just Business Income and Expenses",HYPERLINK("#'Cash Flows'!D10","Go to cash flow detail"),HYPERLINK("#'Cash Flows'!D164","Go to personal details"))</f>
        <v>Go to personal details</v>
      </c>
    </row>
    <row r="21" spans="1:14" x14ac:dyDescent="0.2">
      <c r="K21" s="165"/>
      <c r="N21" s="166"/>
    </row>
    <row r="22" spans="1:14" ht="25.5" customHeight="1" x14ac:dyDescent="0.2">
      <c r="A22" s="1261">
        <v>44307</v>
      </c>
      <c r="B22" s="1261"/>
      <c r="C22" s="1261"/>
      <c r="D22" s="1261"/>
      <c r="E22" s="1261"/>
      <c r="F22" s="1261"/>
      <c r="G22" s="1261"/>
      <c r="H22" s="1261"/>
      <c r="I22" s="1261"/>
      <c r="J22" s="1261"/>
      <c r="K22" s="1261"/>
      <c r="L22" s="209">
        <v>2</v>
      </c>
    </row>
    <row r="23" spans="1:14" x14ac:dyDescent="0.2">
      <c r="A23" s="1262" t="s">
        <v>872</v>
      </c>
      <c r="B23" s="1262"/>
      <c r="C23" s="1262"/>
      <c r="D23" s="1262"/>
      <c r="E23" s="1262"/>
      <c r="F23" s="1262"/>
      <c r="G23" s="1262"/>
      <c r="H23" s="1262"/>
      <c r="I23" s="1262"/>
      <c r="J23" s="1262"/>
      <c r="K23" s="1262"/>
    </row>
    <row r="25" spans="1:14" ht="36.75" customHeight="1" x14ac:dyDescent="0.2">
      <c r="A25" s="1256" t="s">
        <v>205</v>
      </c>
      <c r="B25" s="1256"/>
      <c r="C25" s="1256"/>
      <c r="D25" s="1256"/>
      <c r="E25" s="1256"/>
      <c r="F25" s="1256"/>
      <c r="G25" s="1256"/>
      <c r="H25" s="1256"/>
      <c r="I25" s="1256"/>
      <c r="J25" s="1256"/>
      <c r="K25" s="1256"/>
      <c r="L25" s="1256"/>
      <c r="M25" s="1256"/>
    </row>
  </sheetData>
  <mergeCells count="4">
    <mergeCell ref="A25:M25"/>
    <mergeCell ref="G19:J20"/>
    <mergeCell ref="A22:K22"/>
    <mergeCell ref="A23:K23"/>
  </mergeCells>
  <pageMargins left="0.7" right="0.7" top="0.75" bottom="0.75" header="0.3" footer="0.3"/>
  <pageSetup orientation="landscape"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Drop Down 3">
              <controlPr locked="0" defaultSize="0" print="0" autoLine="0" autoPict="0">
                <anchor moveWithCells="1">
                  <from>
                    <xdr:col>9</xdr:col>
                    <xdr:colOff>276225</xdr:colOff>
                    <xdr:row>16</xdr:row>
                    <xdr:rowOff>0</xdr:rowOff>
                  </from>
                  <to>
                    <xdr:col>11</xdr:col>
                    <xdr:colOff>9525</xdr:colOff>
                    <xdr:row>17</xdr:row>
                    <xdr:rowOff>9525</xdr:rowOff>
                  </to>
                </anchor>
              </controlPr>
            </control>
          </mc:Choice>
        </mc:AlternateContent>
        <mc:AlternateContent xmlns:mc="http://schemas.openxmlformats.org/markup-compatibility/2006">
          <mc:Choice Requires="x14">
            <control shapeId="1030" r:id="rId5" name="Drop Down 6">
              <controlPr locked="0" defaultSize="0" print="0" autoLine="0" autoPict="0">
                <anchor moveWithCells="1">
                  <from>
                    <xdr:col>9</xdr:col>
                    <xdr:colOff>266700</xdr:colOff>
                    <xdr:row>18</xdr:row>
                    <xdr:rowOff>9525</xdr:rowOff>
                  </from>
                  <to>
                    <xdr:col>11</xdr:col>
                    <xdr:colOff>9525</xdr:colOff>
                    <xdr:row>19</xdr:row>
                    <xdr:rowOff>0</xdr:rowOff>
                  </to>
                </anchor>
              </controlPr>
            </control>
          </mc:Choice>
        </mc:AlternateContent>
        <mc:AlternateContent xmlns:mc="http://schemas.openxmlformats.org/markup-compatibility/2006">
          <mc:Choice Requires="x14">
            <control shapeId="1031" r:id="rId6" name="NumbOperatorsDropDown">
              <controlPr locked="0" defaultSize="0" print="0" autoLine="0" autoPict="0">
                <anchor moveWithCells="1">
                  <from>
                    <xdr:col>9</xdr:col>
                    <xdr:colOff>276225</xdr:colOff>
                    <xdr:row>13</xdr:row>
                    <xdr:rowOff>190500</xdr:rowOff>
                  </from>
                  <to>
                    <xdr:col>11</xdr:col>
                    <xdr:colOff>9525</xdr:colOff>
                    <xdr:row>15</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B2:AN126"/>
  <sheetViews>
    <sheetView showGridLines="0" zoomScale="120" zoomScaleNormal="120" zoomScaleSheetLayoutView="100" workbookViewId="0"/>
  </sheetViews>
  <sheetFormatPr defaultColWidth="9.140625" defaultRowHeight="12.75" x14ac:dyDescent="0.2"/>
  <cols>
    <col min="1" max="1" width="2.28515625" style="96" customWidth="1"/>
    <col min="2" max="2" width="16" style="96" customWidth="1"/>
    <col min="3" max="7" width="12.7109375" style="96" customWidth="1"/>
    <col min="8" max="8" width="17.7109375" style="96" customWidth="1"/>
    <col min="9" max="9" width="6.42578125" style="96" bestFit="1" customWidth="1"/>
    <col min="10" max="10" width="11" style="96" bestFit="1" customWidth="1"/>
    <col min="11" max="13" width="9.140625" style="96"/>
    <col min="14" max="14" width="5.5703125" style="96" customWidth="1"/>
    <col min="15" max="15" width="51.85546875" style="96" customWidth="1"/>
    <col min="16" max="16" width="17.42578125" style="96" customWidth="1"/>
    <col min="17" max="17" width="2.140625" style="96" customWidth="1"/>
    <col min="18" max="19" width="9.140625" style="96"/>
    <col min="20" max="20" width="3.7109375" style="96" customWidth="1"/>
    <col min="21" max="21" width="36.42578125" style="96" customWidth="1"/>
    <col min="22" max="22" width="12.7109375" style="96" customWidth="1"/>
    <col min="23" max="23" width="14.28515625" style="96" customWidth="1"/>
    <col min="24" max="24" width="18.28515625" style="96" customWidth="1"/>
    <col min="25" max="25" width="15.28515625" style="96" customWidth="1"/>
    <col min="26" max="26" width="13.140625" style="96" bestFit="1" customWidth="1"/>
    <col min="27" max="27" width="3.7109375" style="96" customWidth="1"/>
    <col min="28" max="28" width="6.42578125" style="96" bestFit="1" customWidth="1"/>
    <col min="29" max="29" width="9.140625" style="96"/>
    <col min="30" max="30" width="3.7109375" style="96" customWidth="1"/>
    <col min="31" max="31" width="36.42578125" style="96" customWidth="1"/>
    <col min="32" max="32" width="15.28515625" style="96" customWidth="1"/>
    <col min="33" max="33" width="13.140625" style="96" customWidth="1"/>
    <col min="34" max="34" width="3.7109375" style="96" customWidth="1"/>
    <col min="35" max="35" width="9.140625" style="96"/>
    <col min="36" max="36" width="3.7109375" style="96" customWidth="1"/>
    <col min="37" max="37" width="35" style="96" bestFit="1" customWidth="1"/>
    <col min="38" max="38" width="9.140625" style="96"/>
    <col min="39" max="39" width="11.28515625" style="96" bestFit="1" customWidth="1"/>
    <col min="40" max="40" width="3.7109375" style="96" customWidth="1"/>
    <col min="41" max="16384" width="9.140625" style="96"/>
  </cols>
  <sheetData>
    <row r="2" spans="2:28" ht="21" customHeight="1" x14ac:dyDescent="0.3">
      <c r="B2" s="1367" t="s">
        <v>796</v>
      </c>
      <c r="C2" s="1367"/>
      <c r="D2" s="1367"/>
      <c r="E2" s="1367"/>
      <c r="F2" s="1367"/>
      <c r="G2" s="1367"/>
      <c r="H2" s="1367"/>
      <c r="I2" s="1367"/>
      <c r="J2" s="911"/>
      <c r="AA2" s="1060"/>
      <c r="AB2" s="1060"/>
    </row>
    <row r="3" spans="2:28" ht="15" customHeight="1" x14ac:dyDescent="0.2">
      <c r="B3" s="1366" t="s">
        <v>732</v>
      </c>
      <c r="C3" s="1366"/>
      <c r="D3" s="1366"/>
      <c r="E3" s="1366"/>
      <c r="F3" s="1366"/>
      <c r="G3" s="1366"/>
      <c r="H3" s="1366"/>
      <c r="I3" s="1366"/>
      <c r="J3" s="911"/>
      <c r="AA3" s="1061"/>
      <c r="AB3" s="1061"/>
    </row>
    <row r="4" spans="2:28" ht="15" x14ac:dyDescent="0.2">
      <c r="B4" s="1366"/>
      <c r="C4" s="1366"/>
      <c r="D4" s="1366"/>
      <c r="E4" s="1366"/>
      <c r="F4" s="1366"/>
      <c r="G4" s="1366"/>
      <c r="H4" s="1366"/>
      <c r="I4" s="1366"/>
      <c r="J4" s="911"/>
      <c r="AA4" s="1061"/>
      <c r="AB4" s="1061"/>
    </row>
    <row r="5" spans="2:28" ht="16.5" thickBot="1" x14ac:dyDescent="0.3">
      <c r="B5" s="912"/>
      <c r="C5" s="912"/>
      <c r="D5" s="912"/>
      <c r="E5" s="912"/>
      <c r="F5" s="912"/>
      <c r="G5" s="913" t="s">
        <v>51</v>
      </c>
      <c r="H5" s="913">
        <f>Year</f>
        <v>0</v>
      </c>
      <c r="I5" s="911"/>
      <c r="J5" s="911"/>
      <c r="N5" s="99"/>
      <c r="O5" s="99"/>
      <c r="P5" s="99"/>
      <c r="Q5" s="99"/>
      <c r="AA5" s="911"/>
    </row>
    <row r="6" spans="2:28" ht="15.75" x14ac:dyDescent="0.25">
      <c r="B6" s="912"/>
      <c r="C6" s="912"/>
      <c r="D6" s="912"/>
      <c r="E6" s="912"/>
      <c r="F6" s="1370" t="s">
        <v>85</v>
      </c>
      <c r="G6" s="1370"/>
      <c r="H6" s="914">
        <f ca="1">GenDate</f>
        <v>44307</v>
      </c>
      <c r="J6" s="914"/>
      <c r="M6" s="99"/>
      <c r="N6" s="1368" t="s">
        <v>660</v>
      </c>
      <c r="O6" s="1369"/>
      <c r="P6" s="1369"/>
      <c r="Q6" s="915"/>
      <c r="R6" s="99"/>
    </row>
    <row r="7" spans="2:28" ht="2.65" customHeight="1" thickBot="1" x14ac:dyDescent="0.25">
      <c r="B7" s="911"/>
      <c r="C7" s="911"/>
      <c r="D7" s="911"/>
      <c r="E7" s="911"/>
      <c r="F7" s="911"/>
      <c r="G7" s="911"/>
      <c r="H7" s="911"/>
      <c r="I7" s="911"/>
      <c r="J7" s="911"/>
      <c r="M7" s="99"/>
      <c r="N7" s="916" t="s">
        <v>660</v>
      </c>
      <c r="O7" s="917"/>
      <c r="P7" s="917"/>
      <c r="Q7" s="129"/>
      <c r="R7" s="99"/>
    </row>
    <row r="8" spans="2:28" ht="15.75" thickBot="1" x14ac:dyDescent="0.25">
      <c r="B8" s="918" t="s">
        <v>520</v>
      </c>
      <c r="C8" s="918"/>
      <c r="D8" s="918"/>
      <c r="E8" s="918"/>
      <c r="F8" s="919"/>
      <c r="G8" s="919"/>
      <c r="H8" s="864">
        <f>schF9</f>
        <v>0</v>
      </c>
      <c r="I8" s="920"/>
      <c r="J8" s="911"/>
      <c r="M8" s="99"/>
      <c r="N8" s="154"/>
      <c r="O8" s="917" t="s">
        <v>661</v>
      </c>
      <c r="P8" s="973"/>
      <c r="Q8" s="129"/>
      <c r="R8" s="99"/>
    </row>
    <row r="9" spans="2:28" ht="16.5" thickBot="1" x14ac:dyDescent="0.3">
      <c r="B9" s="918" t="s">
        <v>521</v>
      </c>
      <c r="C9" s="918"/>
      <c r="D9" s="918"/>
      <c r="E9" s="918"/>
      <c r="F9" s="919"/>
      <c r="G9" s="921"/>
      <c r="H9" s="864">
        <f>schF1b</f>
        <v>0</v>
      </c>
      <c r="I9" s="922" t="s">
        <v>522</v>
      </c>
      <c r="J9" s="911"/>
      <c r="M9" s="99"/>
      <c r="N9" s="154"/>
      <c r="O9" s="917" t="s">
        <v>664</v>
      </c>
      <c r="P9" s="973"/>
      <c r="Q9" s="129"/>
      <c r="R9" s="99"/>
    </row>
    <row r="10" spans="2:28" ht="16.5" thickBot="1" x14ac:dyDescent="0.3">
      <c r="B10" s="918" t="s">
        <v>523</v>
      </c>
      <c r="C10" s="918"/>
      <c r="D10" s="918"/>
      <c r="E10" s="918"/>
      <c r="F10" s="919"/>
      <c r="G10" s="921"/>
      <c r="H10" s="864">
        <f>schF5a</f>
        <v>0</v>
      </c>
      <c r="I10" s="922" t="s">
        <v>524</v>
      </c>
      <c r="J10" s="911"/>
      <c r="M10" s="99"/>
      <c r="N10" s="154"/>
      <c r="O10" s="917" t="s">
        <v>665</v>
      </c>
      <c r="P10" s="973"/>
      <c r="Q10" s="129"/>
      <c r="R10" s="99"/>
    </row>
    <row r="11" spans="2:28" ht="16.5" thickBot="1" x14ac:dyDescent="0.3">
      <c r="B11" s="918" t="s">
        <v>525</v>
      </c>
      <c r="C11" s="918"/>
      <c r="D11" s="918"/>
      <c r="E11" s="918"/>
      <c r="F11" s="919"/>
      <c r="G11" s="921"/>
      <c r="H11" s="864">
        <f>schF6b</f>
        <v>0</v>
      </c>
      <c r="I11" s="922" t="s">
        <v>526</v>
      </c>
      <c r="J11" s="911"/>
      <c r="M11" s="99"/>
      <c r="N11" s="154"/>
      <c r="O11" s="917" t="s">
        <v>666</v>
      </c>
      <c r="P11" s="973"/>
      <c r="Q11" s="129"/>
      <c r="R11" s="99"/>
    </row>
    <row r="12" spans="2:28" ht="16.5" thickBot="1" x14ac:dyDescent="0.3">
      <c r="B12" s="918" t="s">
        <v>527</v>
      </c>
      <c r="C12" s="918"/>
      <c r="D12" s="918"/>
      <c r="E12" s="918"/>
      <c r="F12" s="919"/>
      <c r="G12" s="921"/>
      <c r="H12" s="864">
        <f>schF6a</f>
        <v>0</v>
      </c>
      <c r="I12" s="922" t="s">
        <v>522</v>
      </c>
      <c r="J12" s="911"/>
      <c r="M12" s="99"/>
      <c r="N12" s="154"/>
      <c r="O12" s="917" t="s">
        <v>662</v>
      </c>
      <c r="P12" s="973"/>
      <c r="Q12" s="129"/>
      <c r="R12" s="99"/>
    </row>
    <row r="13" spans="2:28" ht="16.5" thickBot="1" x14ac:dyDescent="0.3">
      <c r="B13" s="918" t="s">
        <v>528</v>
      </c>
      <c r="C13" s="918"/>
      <c r="D13" s="918"/>
      <c r="E13" s="918"/>
      <c r="F13" s="919"/>
      <c r="G13" s="921"/>
      <c r="H13" s="864">
        <f>schF6d</f>
        <v>0</v>
      </c>
      <c r="I13" s="922" t="s">
        <v>526</v>
      </c>
      <c r="J13" s="911"/>
      <c r="M13" s="99"/>
      <c r="N13" s="154"/>
      <c r="O13" s="917" t="s">
        <v>663</v>
      </c>
      <c r="P13" s="974">
        <f>25000+(0.05*schF9Summary)</f>
        <v>25000</v>
      </c>
      <c r="Q13" s="129"/>
      <c r="R13" s="99"/>
    </row>
    <row r="14" spans="2:28" ht="16.5" thickBot="1" x14ac:dyDescent="0.3">
      <c r="B14" s="923" t="s">
        <v>529</v>
      </c>
      <c r="C14" s="923"/>
      <c r="D14" s="923"/>
      <c r="E14" s="923"/>
      <c r="F14" s="924"/>
      <c r="G14" s="925"/>
      <c r="H14" s="864">
        <f>schFCulls</f>
        <v>0</v>
      </c>
      <c r="I14" s="926" t="s">
        <v>522</v>
      </c>
      <c r="J14" s="911"/>
      <c r="M14" s="99"/>
      <c r="N14" s="154"/>
      <c r="O14" s="917" t="s">
        <v>746</v>
      </c>
      <c r="P14" s="973"/>
      <c r="Q14" s="129"/>
      <c r="R14" s="99"/>
    </row>
    <row r="15" spans="2:28" ht="16.5" thickBot="1" x14ac:dyDescent="0.3">
      <c r="B15" s="928" t="s">
        <v>530</v>
      </c>
      <c r="C15" s="928"/>
      <c r="D15" s="928"/>
      <c r="E15" s="928"/>
      <c r="F15" s="1371" t="s">
        <v>531</v>
      </c>
      <c r="G15" s="1371"/>
      <c r="H15" s="929">
        <f>H8+H9-H10-H11+H12-H13+H14</f>
        <v>0</v>
      </c>
      <c r="I15" s="930"/>
      <c r="J15" s="911"/>
      <c r="M15" s="99"/>
      <c r="N15" s="154"/>
      <c r="O15" s="917" t="s">
        <v>747</v>
      </c>
      <c r="P15" s="973"/>
      <c r="Q15" s="129"/>
      <c r="R15" s="99"/>
    </row>
    <row r="16" spans="2:28" ht="15.75" thickBot="1" x14ac:dyDescent="0.25">
      <c r="B16" s="918"/>
      <c r="C16" s="918"/>
      <c r="D16" s="918"/>
      <c r="E16" s="918"/>
      <c r="F16" s="919"/>
      <c r="G16" s="919"/>
      <c r="H16" s="931"/>
      <c r="I16" s="920"/>
      <c r="J16" s="911"/>
      <c r="M16" s="99"/>
      <c r="N16" s="154"/>
      <c r="O16" s="917" t="s">
        <v>748</v>
      </c>
      <c r="P16" s="973"/>
      <c r="Q16" s="129"/>
      <c r="R16" s="99"/>
    </row>
    <row r="17" spans="2:18" ht="15.75" thickBot="1" x14ac:dyDescent="0.25">
      <c r="B17" s="918"/>
      <c r="C17" s="918"/>
      <c r="D17" s="918"/>
      <c r="E17" s="918"/>
      <c r="F17" s="1372" t="s">
        <v>532</v>
      </c>
      <c r="G17" s="1372"/>
      <c r="H17" s="931"/>
      <c r="I17" s="920"/>
      <c r="J17" s="911"/>
      <c r="M17" s="99"/>
      <c r="N17" s="154"/>
      <c r="O17" s="917" t="s">
        <v>749</v>
      </c>
      <c r="P17" s="973"/>
      <c r="Q17" s="129"/>
      <c r="R17" s="99"/>
    </row>
    <row r="18" spans="2:18" ht="16.5" thickBot="1" x14ac:dyDescent="0.3">
      <c r="B18" s="918" t="s">
        <v>533</v>
      </c>
      <c r="C18" s="918"/>
      <c r="D18" s="918"/>
      <c r="E18" s="918"/>
      <c r="F18" s="864">
        <f>InvCropsEntry</f>
        <v>0</v>
      </c>
      <c r="G18" s="864">
        <f>schFAACropBeg</f>
        <v>0</v>
      </c>
      <c r="H18" s="864">
        <f>+F18-G18</f>
        <v>0</v>
      </c>
      <c r="I18" s="926" t="s">
        <v>522</v>
      </c>
      <c r="J18" s="911"/>
      <c r="M18" s="99"/>
      <c r="N18" s="154"/>
      <c r="O18" s="917" t="s">
        <v>750</v>
      </c>
      <c r="P18" s="973"/>
      <c r="Q18" s="129"/>
      <c r="R18" s="99"/>
    </row>
    <row r="19" spans="2:18" ht="15.75" x14ac:dyDescent="0.25">
      <c r="B19" s="918" t="s">
        <v>534</v>
      </c>
      <c r="C19" s="918"/>
      <c r="D19" s="918"/>
      <c r="E19" s="918"/>
      <c r="F19" s="864">
        <f>InvLivestockEntry</f>
        <v>0</v>
      </c>
      <c r="G19" s="864">
        <f>schFAALvskBeg</f>
        <v>0</v>
      </c>
      <c r="H19" s="864">
        <f>+F19-G19</f>
        <v>0</v>
      </c>
      <c r="I19" s="926" t="s">
        <v>522</v>
      </c>
      <c r="J19" s="911"/>
      <c r="M19" s="99"/>
      <c r="N19" s="154"/>
      <c r="O19" s="917"/>
      <c r="P19" s="927"/>
      <c r="Q19" s="129"/>
      <c r="R19" s="99"/>
    </row>
    <row r="20" spans="2:18" ht="16.5" thickBot="1" x14ac:dyDescent="0.3">
      <c r="B20" s="918" t="s">
        <v>535</v>
      </c>
      <c r="C20" s="918"/>
      <c r="D20" s="918" t="s">
        <v>568</v>
      </c>
      <c r="E20" s="911"/>
      <c r="F20" s="864">
        <f>CADueProcTot+CAOthRecTot</f>
        <v>0</v>
      </c>
      <c r="G20" s="864">
        <f>schFAAARBeg</f>
        <v>0</v>
      </c>
      <c r="H20" s="864">
        <f>+F20-G20</f>
        <v>0</v>
      </c>
      <c r="I20" s="926" t="s">
        <v>522</v>
      </c>
      <c r="J20" s="911"/>
      <c r="M20" s="99"/>
      <c r="N20" s="916" t="s">
        <v>667</v>
      </c>
      <c r="O20" s="917"/>
      <c r="P20" s="927"/>
      <c r="Q20" s="129"/>
      <c r="R20" s="99"/>
    </row>
    <row r="21" spans="2:18" ht="16.5" thickBot="1" x14ac:dyDescent="0.3">
      <c r="B21" s="918" t="s">
        <v>536</v>
      </c>
      <c r="C21" s="918"/>
      <c r="D21" s="865">
        <f>schFHedging</f>
        <v>0</v>
      </c>
      <c r="E21" s="911"/>
      <c r="F21" s="864">
        <f>schFAAHedgeEnd</f>
        <v>0</v>
      </c>
      <c r="G21" s="864">
        <f>schFAAHedgeBeg</f>
        <v>0</v>
      </c>
      <c r="H21" s="864">
        <f>+F21-G21+D21</f>
        <v>0</v>
      </c>
      <c r="I21" s="926" t="s">
        <v>522</v>
      </c>
      <c r="M21" s="99"/>
      <c r="N21" s="154"/>
      <c r="O21" s="917" t="s">
        <v>668</v>
      </c>
      <c r="P21" s="973"/>
      <c r="Q21" s="129"/>
      <c r="R21" s="99"/>
    </row>
    <row r="22" spans="2:18" ht="16.5" thickBot="1" x14ac:dyDescent="0.3">
      <c r="B22" s="918" t="s">
        <v>763</v>
      </c>
      <c r="C22" s="918"/>
      <c r="D22" s="1045"/>
      <c r="E22" s="911"/>
      <c r="F22" s="864">
        <f>schFAssetsRLvskEnd</f>
        <v>0</v>
      </c>
      <c r="G22" s="864">
        <f>schFAssetsRLvskBeg</f>
        <v>0</v>
      </c>
      <c r="H22" s="864">
        <f>F22-G22</f>
        <v>0</v>
      </c>
      <c r="I22" s="926" t="s">
        <v>522</v>
      </c>
      <c r="J22" s="911"/>
      <c r="M22" s="99"/>
      <c r="N22" s="154"/>
      <c r="O22" s="917" t="s">
        <v>669</v>
      </c>
      <c r="P22" s="973"/>
      <c r="Q22" s="129"/>
      <c r="R22" s="99"/>
    </row>
    <row r="23" spans="2:18" ht="16.5" thickBot="1" x14ac:dyDescent="0.3">
      <c r="B23" s="923" t="s">
        <v>537</v>
      </c>
      <c r="C23" s="923"/>
      <c r="D23" s="923"/>
      <c r="E23" s="923"/>
      <c r="F23" s="864">
        <f>InvOtherEntry</f>
        <v>0</v>
      </c>
      <c r="G23" s="864">
        <f>schFAAOthInvBeg</f>
        <v>0</v>
      </c>
      <c r="H23" s="864">
        <f>+F23-G23</f>
        <v>0</v>
      </c>
      <c r="I23" s="926" t="s">
        <v>522</v>
      </c>
      <c r="J23" s="911"/>
      <c r="M23" s="99"/>
      <c r="N23" s="154"/>
      <c r="O23" s="917" t="s">
        <v>670</v>
      </c>
      <c r="P23" s="973"/>
      <c r="Q23" s="129"/>
      <c r="R23" s="99"/>
    </row>
    <row r="24" spans="2:18" ht="16.5" thickBot="1" x14ac:dyDescent="0.3">
      <c r="B24" s="928" t="s">
        <v>538</v>
      </c>
      <c r="C24" s="928"/>
      <c r="D24" s="928"/>
      <c r="E24" s="928"/>
      <c r="F24" s="1363" t="s">
        <v>539</v>
      </c>
      <c r="G24" s="1363"/>
      <c r="H24" s="932">
        <f>+H8+H9-H11+H12-H13+H14+SUM(H18:H23)</f>
        <v>0</v>
      </c>
      <c r="I24" s="930"/>
      <c r="J24" s="911"/>
      <c r="M24" s="99"/>
      <c r="N24" s="154"/>
      <c r="O24" s="917" t="s">
        <v>241</v>
      </c>
      <c r="P24" s="973"/>
      <c r="Q24" s="129"/>
      <c r="R24" s="99"/>
    </row>
    <row r="25" spans="2:18" ht="15.75" thickBot="1" x14ac:dyDescent="0.25">
      <c r="B25" s="918"/>
      <c r="C25" s="918"/>
      <c r="D25" s="918"/>
      <c r="E25" s="918"/>
      <c r="F25" s="933"/>
      <c r="G25" s="933"/>
      <c r="H25" s="931"/>
      <c r="I25" s="920"/>
      <c r="J25" s="911"/>
      <c r="M25" s="99"/>
      <c r="N25" s="154"/>
      <c r="O25" s="917" t="s">
        <v>671</v>
      </c>
      <c r="P25" s="973"/>
      <c r="Q25" s="129"/>
      <c r="R25" s="99"/>
    </row>
    <row r="26" spans="2:18" ht="16.5" thickBot="1" x14ac:dyDescent="0.25">
      <c r="B26" s="918" t="s">
        <v>673</v>
      </c>
      <c r="C26" s="918"/>
      <c r="D26" s="918"/>
      <c r="E26" s="918"/>
      <c r="F26" s="933"/>
      <c r="G26" s="933"/>
      <c r="H26" s="864">
        <f>schF33</f>
        <v>0</v>
      </c>
      <c r="I26" s="920"/>
      <c r="J26" s="911"/>
      <c r="M26" s="99"/>
      <c r="N26" s="154"/>
      <c r="O26" s="917" t="s">
        <v>0</v>
      </c>
      <c r="P26" s="973"/>
      <c r="Q26" s="129"/>
      <c r="R26" s="99"/>
    </row>
    <row r="27" spans="2:18" ht="15.75" x14ac:dyDescent="0.25">
      <c r="B27" s="918" t="s">
        <v>540</v>
      </c>
      <c r="C27" s="918"/>
      <c r="D27" s="918"/>
      <c r="E27" s="918"/>
      <c r="F27" s="933"/>
      <c r="G27" s="933"/>
      <c r="H27" s="864">
        <f>schFFeederPurch</f>
        <v>0</v>
      </c>
      <c r="I27" s="926" t="s">
        <v>522</v>
      </c>
      <c r="J27" s="911"/>
      <c r="M27" s="99"/>
      <c r="N27" s="154"/>
      <c r="O27" s="917"/>
      <c r="P27" s="927"/>
      <c r="Q27" s="129"/>
      <c r="R27" s="99"/>
    </row>
    <row r="28" spans="2:18" ht="16.5" thickBot="1" x14ac:dyDescent="0.3">
      <c r="B28" s="918" t="s">
        <v>541</v>
      </c>
      <c r="C28" s="918"/>
      <c r="D28" s="918"/>
      <c r="E28" s="918"/>
      <c r="F28" s="933"/>
      <c r="G28" s="933"/>
      <c r="H28" s="864">
        <f>schF14</f>
        <v>0</v>
      </c>
      <c r="I28" s="922" t="s">
        <v>526</v>
      </c>
      <c r="J28" s="911"/>
      <c r="M28" s="99"/>
      <c r="N28" s="916" t="s">
        <v>672</v>
      </c>
      <c r="O28" s="917"/>
      <c r="P28" s="927"/>
      <c r="Q28" s="129"/>
      <c r="R28" s="99"/>
    </row>
    <row r="29" spans="2:18" ht="16.5" thickBot="1" x14ac:dyDescent="0.3">
      <c r="B29" s="918" t="s">
        <v>542</v>
      </c>
      <c r="C29" s="918"/>
      <c r="D29" s="918"/>
      <c r="E29" s="918"/>
      <c r="F29" s="933"/>
      <c r="G29" s="933"/>
      <c r="H29" s="971"/>
      <c r="I29" s="922" t="s">
        <v>524</v>
      </c>
      <c r="J29" s="911"/>
      <c r="M29" s="99"/>
      <c r="N29" s="154"/>
      <c r="O29" s="917" t="s">
        <v>668</v>
      </c>
      <c r="P29" s="973"/>
      <c r="Q29" s="129"/>
      <c r="R29" s="99"/>
    </row>
    <row r="30" spans="2:18" ht="16.5" thickBot="1" x14ac:dyDescent="0.25">
      <c r="B30" s="934" t="s">
        <v>543</v>
      </c>
      <c r="C30" s="934"/>
      <c r="D30" s="934"/>
      <c r="E30" s="934"/>
      <c r="F30" s="1361" t="s">
        <v>544</v>
      </c>
      <c r="G30" s="1361"/>
      <c r="H30" s="935"/>
      <c r="I30" s="920"/>
      <c r="J30" s="911"/>
      <c r="M30" s="99"/>
      <c r="N30" s="154"/>
      <c r="O30" s="917" t="s">
        <v>669</v>
      </c>
      <c r="P30" s="973"/>
      <c r="Q30" s="129"/>
      <c r="R30" s="99"/>
    </row>
    <row r="31" spans="2:18" ht="16.5" thickBot="1" x14ac:dyDescent="0.3">
      <c r="B31" s="918" t="s">
        <v>545</v>
      </c>
      <c r="C31" s="918"/>
      <c r="D31" s="918"/>
      <c r="E31" s="918"/>
      <c r="F31" s="864">
        <f>schFAAPrepaidBeg</f>
        <v>0</v>
      </c>
      <c r="G31" s="865">
        <f>CAPrepaidTot</f>
        <v>0</v>
      </c>
      <c r="H31" s="865">
        <f>+F31-G31</f>
        <v>0</v>
      </c>
      <c r="I31" s="926" t="s">
        <v>522</v>
      </c>
      <c r="J31" s="911"/>
      <c r="M31" s="99"/>
      <c r="N31" s="154"/>
      <c r="O31" s="917" t="s">
        <v>670</v>
      </c>
      <c r="P31" s="973"/>
      <c r="Q31" s="129"/>
      <c r="R31" s="99"/>
    </row>
    <row r="32" spans="2:18" ht="16.5" thickBot="1" x14ac:dyDescent="0.3">
      <c r="B32" s="918" t="s">
        <v>546</v>
      </c>
      <c r="C32" s="918"/>
      <c r="D32" s="918"/>
      <c r="E32" s="918"/>
      <c r="F32" s="864">
        <f>schFAAGrowCropBeg</f>
        <v>0</v>
      </c>
      <c r="G32" s="864">
        <f>schFAAGrowCropEnd</f>
        <v>0</v>
      </c>
      <c r="H32" s="865">
        <f>+F32-G32</f>
        <v>0</v>
      </c>
      <c r="I32" s="926" t="s">
        <v>522</v>
      </c>
      <c r="J32" s="911"/>
      <c r="M32" s="99"/>
      <c r="N32" s="154"/>
      <c r="O32" s="917" t="s">
        <v>241</v>
      </c>
      <c r="P32" s="973"/>
      <c r="Q32" s="129"/>
      <c r="R32" s="99"/>
    </row>
    <row r="33" spans="2:18" ht="16.5" thickBot="1" x14ac:dyDescent="0.25">
      <c r="B33" s="934" t="s">
        <v>543</v>
      </c>
      <c r="C33" s="934"/>
      <c r="D33" s="934"/>
      <c r="E33" s="934"/>
      <c r="F33" s="1362" t="s">
        <v>547</v>
      </c>
      <c r="G33" s="1362"/>
      <c r="H33" s="931"/>
      <c r="I33" s="920"/>
      <c r="J33" s="911"/>
      <c r="M33" s="99"/>
      <c r="N33" s="154"/>
      <c r="O33" s="917" t="s">
        <v>671</v>
      </c>
      <c r="P33" s="973"/>
      <c r="Q33" s="129"/>
      <c r="R33" s="99"/>
    </row>
    <row r="34" spans="2:18" ht="16.5" thickBot="1" x14ac:dyDescent="0.3">
      <c r="B34" s="918" t="s">
        <v>548</v>
      </c>
      <c r="C34" s="918"/>
      <c r="D34" s="918"/>
      <c r="E34" s="918"/>
      <c r="F34" s="865">
        <f>CLAPTot</f>
        <v>0</v>
      </c>
      <c r="G34" s="864">
        <f>schFAAAPBeg</f>
        <v>0</v>
      </c>
      <c r="H34" s="865">
        <f>+F34-G34</f>
        <v>0</v>
      </c>
      <c r="I34" s="926" t="s">
        <v>522</v>
      </c>
      <c r="J34" s="911"/>
      <c r="M34" s="99"/>
      <c r="N34" s="154"/>
      <c r="O34" s="917" t="s">
        <v>0</v>
      </c>
      <c r="P34" s="973"/>
      <c r="Q34" s="129"/>
      <c r="R34" s="99"/>
    </row>
    <row r="35" spans="2:18" ht="16.5" thickBot="1" x14ac:dyDescent="0.3">
      <c r="B35" s="918" t="s">
        <v>567</v>
      </c>
      <c r="C35" s="918"/>
      <c r="D35" s="918"/>
      <c r="E35" s="918"/>
      <c r="F35" s="864">
        <f>CLBizAcrIntTot</f>
        <v>0</v>
      </c>
      <c r="G35" s="864">
        <f>schFAAAccIntBeg</f>
        <v>0</v>
      </c>
      <c r="H35" s="865">
        <f>+F35-G35</f>
        <v>0</v>
      </c>
      <c r="I35" s="926" t="s">
        <v>522</v>
      </c>
      <c r="J35" s="911"/>
      <c r="N35" s="154"/>
      <c r="O35" s="99"/>
      <c r="P35" s="99"/>
      <c r="Q35" s="129"/>
    </row>
    <row r="36" spans="2:18" ht="16.5" thickBot="1" x14ac:dyDescent="0.3">
      <c r="B36" s="934" t="s">
        <v>549</v>
      </c>
      <c r="C36" s="934"/>
      <c r="D36" s="934"/>
      <c r="E36" s="934"/>
      <c r="F36" s="1363" t="s">
        <v>550</v>
      </c>
      <c r="G36" s="1363"/>
      <c r="H36" s="932">
        <f>+H26+H27-H28-H29+H31+H32+H34+H35</f>
        <v>0</v>
      </c>
      <c r="I36" s="930"/>
      <c r="J36" s="911"/>
      <c r="N36" s="916" t="s">
        <v>752</v>
      </c>
      <c r="O36" s="99"/>
      <c r="P36" s="99"/>
      <c r="Q36" s="129"/>
    </row>
    <row r="37" spans="2:18" ht="15.75" thickBot="1" x14ac:dyDescent="0.25">
      <c r="B37" s="918"/>
      <c r="C37" s="918"/>
      <c r="D37" s="918"/>
      <c r="E37" s="918"/>
      <c r="F37" s="937"/>
      <c r="G37" s="937"/>
      <c r="H37" s="931"/>
      <c r="I37" s="920"/>
      <c r="J37" s="911"/>
      <c r="N37" s="154"/>
      <c r="O37" s="917" t="s">
        <v>753</v>
      </c>
      <c r="P37" s="973"/>
      <c r="Q37" s="129"/>
    </row>
    <row r="38" spans="2:18" ht="16.5" thickBot="1" x14ac:dyDescent="0.3">
      <c r="B38" s="934" t="s">
        <v>570</v>
      </c>
      <c r="C38" s="934"/>
      <c r="D38" s="934"/>
      <c r="E38" s="934"/>
      <c r="F38" s="1364"/>
      <c r="G38" s="1364"/>
      <c r="H38" s="932">
        <f>H24-H36</f>
        <v>0</v>
      </c>
      <c r="I38" s="938" t="s">
        <v>571</v>
      </c>
      <c r="J38" s="911"/>
      <c r="N38" s="154"/>
      <c r="O38" s="917" t="s">
        <v>754</v>
      </c>
      <c r="P38" s="1036"/>
      <c r="Q38" s="129"/>
    </row>
    <row r="39" spans="2:18" ht="15.75" thickBot="1" x14ac:dyDescent="0.25">
      <c r="B39" s="918"/>
      <c r="C39" s="918"/>
      <c r="D39" s="918"/>
      <c r="E39" s="918"/>
      <c r="F39" s="933"/>
      <c r="G39" s="933"/>
      <c r="H39" s="931"/>
      <c r="I39" s="920"/>
      <c r="J39" s="911"/>
      <c r="N39" s="154"/>
      <c r="O39" s="917" t="s">
        <v>755</v>
      </c>
      <c r="P39" s="973"/>
      <c r="Q39" s="129"/>
    </row>
    <row r="40" spans="2:18" ht="16.5" thickBot="1" x14ac:dyDescent="0.3">
      <c r="B40" s="934" t="s">
        <v>395</v>
      </c>
      <c r="C40" s="939" t="s">
        <v>679</v>
      </c>
      <c r="D40" s="940" t="s">
        <v>552</v>
      </c>
      <c r="E40" s="940" t="s">
        <v>553</v>
      </c>
      <c r="F40" s="940" t="s">
        <v>678</v>
      </c>
      <c r="G40" s="968" t="s">
        <v>680</v>
      </c>
      <c r="H40" s="941"/>
      <c r="I40" s="920"/>
      <c r="J40" s="942"/>
      <c r="N40" s="154"/>
      <c r="O40" s="917" t="s">
        <v>756</v>
      </c>
      <c r="P40" s="973"/>
      <c r="Q40" s="129"/>
    </row>
    <row r="41" spans="2:18" ht="16.5" thickBot="1" x14ac:dyDescent="0.3">
      <c r="B41" s="1051" t="s">
        <v>766</v>
      </c>
      <c r="C41" s="864">
        <f>schFAssetsPLvskBeg</f>
        <v>0</v>
      </c>
      <c r="D41" s="865">
        <f>schFPurchlvsk</f>
        <v>0</v>
      </c>
      <c r="E41" s="865">
        <f>schFSaleLvsk</f>
        <v>0</v>
      </c>
      <c r="F41" s="965">
        <f>schFAssetsPLvskEnd</f>
        <v>0</v>
      </c>
      <c r="G41" s="972">
        <v>20</v>
      </c>
      <c r="H41" s="966">
        <f>C41+D41-E41-F41</f>
        <v>0</v>
      </c>
      <c r="I41" s="926" t="s">
        <v>522</v>
      </c>
      <c r="J41" s="942"/>
      <c r="N41" s="154"/>
      <c r="O41" s="917" t="s">
        <v>757</v>
      </c>
      <c r="P41" s="973"/>
      <c r="Q41" s="129"/>
    </row>
    <row r="42" spans="2:18" ht="16.5" thickBot="1" x14ac:dyDescent="0.3">
      <c r="B42" s="1044" t="s">
        <v>555</v>
      </c>
      <c r="C42" s="864">
        <f>schFAssetsMachBeg</f>
        <v>0</v>
      </c>
      <c r="D42" s="865">
        <f>schFPurchMach</f>
        <v>0</v>
      </c>
      <c r="E42" s="865">
        <f>schFSaleMach</f>
        <v>0</v>
      </c>
      <c r="F42" s="965">
        <f>schFAssetsMachEnd</f>
        <v>0</v>
      </c>
      <c r="G42" s="972">
        <v>10</v>
      </c>
      <c r="H42" s="966">
        <f>C42+D42-E42-F42</f>
        <v>0</v>
      </c>
      <c r="I42" s="926" t="s">
        <v>522</v>
      </c>
      <c r="J42" s="942"/>
      <c r="N42" s="154"/>
      <c r="O42" s="917" t="s">
        <v>758</v>
      </c>
      <c r="P42" s="973"/>
      <c r="Q42" s="129"/>
    </row>
    <row r="43" spans="2:18" ht="16.5" thickBot="1" x14ac:dyDescent="0.3">
      <c r="B43" s="918" t="s">
        <v>556</v>
      </c>
      <c r="C43" s="864">
        <f>schFAssetsVehBeg</f>
        <v>0</v>
      </c>
      <c r="D43" s="865">
        <f>schFPurchVehicle</f>
        <v>0</v>
      </c>
      <c r="E43" s="865">
        <f>schFSaleVehicle</f>
        <v>0</v>
      </c>
      <c r="F43" s="965">
        <f>schFAssetsVehEnd</f>
        <v>0</v>
      </c>
      <c r="G43" s="972">
        <v>15</v>
      </c>
      <c r="H43" s="966">
        <f t="shared" ref="H43:H44" si="0">C43+D43-E43-F43</f>
        <v>0</v>
      </c>
      <c r="I43" s="926" t="s">
        <v>522</v>
      </c>
      <c r="J43" s="911"/>
      <c r="N43" s="154"/>
      <c r="O43" s="917" t="s">
        <v>759</v>
      </c>
      <c r="P43" s="973"/>
      <c r="Q43" s="129"/>
    </row>
    <row r="44" spans="2:18" ht="16.5" thickBot="1" x14ac:dyDescent="0.3">
      <c r="B44" s="918" t="s">
        <v>557</v>
      </c>
      <c r="C44" s="864">
        <f>schFAssetsBuildBeg</f>
        <v>0</v>
      </c>
      <c r="D44" s="865">
        <f>schFPurchBldg</f>
        <v>0</v>
      </c>
      <c r="E44" s="865">
        <f>schFSaleBldg</f>
        <v>0</v>
      </c>
      <c r="F44" s="965">
        <f>schFAssetsBuildEnd</f>
        <v>0</v>
      </c>
      <c r="G44" s="972">
        <v>5</v>
      </c>
      <c r="H44" s="967">
        <f t="shared" si="0"/>
        <v>0</v>
      </c>
      <c r="I44" s="926" t="s">
        <v>522</v>
      </c>
      <c r="J44" s="942"/>
      <c r="N44" s="154"/>
      <c r="O44" s="917" t="s">
        <v>0</v>
      </c>
      <c r="P44" s="973"/>
      <c r="Q44" s="129"/>
    </row>
    <row r="45" spans="2:18" ht="16.5" thickBot="1" x14ac:dyDescent="0.3">
      <c r="B45" s="918" t="s">
        <v>683</v>
      </c>
      <c r="C45" s="919"/>
      <c r="D45" s="919"/>
      <c r="E45" s="943"/>
      <c r="F45" s="943"/>
      <c r="G45" s="969"/>
      <c r="H45" s="971"/>
      <c r="I45" s="944"/>
      <c r="J45" s="911"/>
      <c r="N45" s="154"/>
      <c r="O45" s="99"/>
      <c r="P45" s="99"/>
      <c r="Q45" s="129"/>
    </row>
    <row r="46" spans="2:18" ht="16.5" thickBot="1" x14ac:dyDescent="0.3">
      <c r="B46" s="934" t="s">
        <v>559</v>
      </c>
      <c r="C46" s="934"/>
      <c r="D46" s="934"/>
      <c r="E46" s="934"/>
      <c r="F46" s="919"/>
      <c r="G46" s="950" t="s">
        <v>560</v>
      </c>
      <c r="H46" s="970">
        <f>+SUM(H41:H45)</f>
        <v>0</v>
      </c>
      <c r="I46" s="920"/>
      <c r="J46" s="942"/>
      <c r="N46" s="916" t="s">
        <v>760</v>
      </c>
      <c r="O46" s="99"/>
      <c r="P46" s="99"/>
      <c r="Q46" s="129"/>
    </row>
    <row r="47" spans="2:18" ht="16.5" thickBot="1" x14ac:dyDescent="0.3">
      <c r="B47" s="918"/>
      <c r="C47" s="918"/>
      <c r="D47" s="918"/>
      <c r="E47" s="918"/>
      <c r="F47" s="919"/>
      <c r="G47" s="919"/>
      <c r="H47" s="945"/>
      <c r="I47" s="930" t="s">
        <v>563</v>
      </c>
      <c r="J47" s="911"/>
      <c r="N47" s="154"/>
      <c r="O47" s="917" t="s">
        <v>753</v>
      </c>
      <c r="P47" s="1037"/>
      <c r="Q47" s="129"/>
    </row>
    <row r="48" spans="2:18" ht="16.5" thickBot="1" x14ac:dyDescent="0.3">
      <c r="B48" s="934" t="s">
        <v>561</v>
      </c>
      <c r="C48" s="934"/>
      <c r="D48" s="934"/>
      <c r="E48" s="934"/>
      <c r="F48" s="1378" t="s">
        <v>562</v>
      </c>
      <c r="G48" s="1371"/>
      <c r="H48" s="932">
        <f>+H36+H46</f>
        <v>0</v>
      </c>
      <c r="I48" s="930"/>
      <c r="J48" s="942"/>
      <c r="K48" s="947"/>
      <c r="N48" s="154"/>
      <c r="O48" s="917" t="s">
        <v>754</v>
      </c>
      <c r="P48" s="1036"/>
      <c r="Q48" s="129"/>
    </row>
    <row r="49" spans="2:40" ht="16.5" thickBot="1" x14ac:dyDescent="0.3">
      <c r="B49" s="934"/>
      <c r="C49" s="934"/>
      <c r="D49" s="934"/>
      <c r="E49" s="934"/>
      <c r="F49" s="950"/>
      <c r="G49" s="949"/>
      <c r="H49" s="946"/>
      <c r="I49" s="938" t="s">
        <v>566</v>
      </c>
      <c r="N49" s="154"/>
      <c r="O49" s="917" t="s">
        <v>755</v>
      </c>
      <c r="P49" s="973"/>
      <c r="Q49" s="129"/>
    </row>
    <row r="50" spans="2:40" ht="19.5" thickBot="1" x14ac:dyDescent="0.35">
      <c r="B50" s="934" t="s">
        <v>564</v>
      </c>
      <c r="C50" s="934"/>
      <c r="D50" s="934"/>
      <c r="E50" s="934"/>
      <c r="F50" s="1371" t="s">
        <v>565</v>
      </c>
      <c r="G50" s="1383"/>
      <c r="H50" s="975">
        <f>+H24-H48</f>
        <v>0</v>
      </c>
      <c r="I50" s="948"/>
      <c r="N50" s="154"/>
      <c r="O50" s="917" t="s">
        <v>756</v>
      </c>
      <c r="P50" s="973"/>
      <c r="Q50" s="129"/>
    </row>
    <row r="51" spans="2:40" ht="17.25" thickTop="1" thickBot="1" x14ac:dyDescent="0.3">
      <c r="B51" s="948"/>
      <c r="C51" s="948"/>
      <c r="D51" s="948"/>
      <c r="E51" s="948"/>
      <c r="N51" s="154"/>
      <c r="O51" s="917" t="s">
        <v>757</v>
      </c>
      <c r="P51" s="973"/>
      <c r="Q51" s="129"/>
    </row>
    <row r="52" spans="2:40" ht="15.75" thickBot="1" x14ac:dyDescent="0.25">
      <c r="B52" s="1359"/>
      <c r="C52" s="1359"/>
      <c r="D52" s="1359"/>
      <c r="E52" s="1359"/>
      <c r="F52" s="1359"/>
      <c r="G52" s="1359"/>
      <c r="H52" s="1359"/>
      <c r="N52" s="154"/>
      <c r="O52" s="917" t="s">
        <v>758</v>
      </c>
      <c r="P52" s="973"/>
      <c r="Q52" s="129"/>
    </row>
    <row r="53" spans="2:40" ht="15.75" thickBot="1" x14ac:dyDescent="0.25">
      <c r="B53" s="1359"/>
      <c r="C53" s="1359"/>
      <c r="D53" s="1359"/>
      <c r="E53" s="1359"/>
      <c r="F53" s="1359"/>
      <c r="G53" s="1359"/>
      <c r="H53" s="1359"/>
      <c r="N53" s="154"/>
      <c r="O53" s="917" t="s">
        <v>759</v>
      </c>
      <c r="P53" s="973"/>
      <c r="Q53" s="129"/>
    </row>
    <row r="54" spans="2:40" ht="15.75" thickBot="1" x14ac:dyDescent="0.25">
      <c r="N54" s="154"/>
      <c r="O54" s="917" t="s">
        <v>0</v>
      </c>
      <c r="P54" s="973"/>
      <c r="Q54" s="129"/>
    </row>
    <row r="55" spans="2:40" ht="13.5" thickBot="1" x14ac:dyDescent="0.25">
      <c r="N55" s="936"/>
      <c r="O55" s="131"/>
      <c r="P55" s="131"/>
      <c r="Q55" s="132"/>
    </row>
    <row r="56" spans="2:40" x14ac:dyDescent="0.2">
      <c r="N56" s="547" t="s">
        <v>569</v>
      </c>
      <c r="AG56" s="1193"/>
    </row>
    <row r="61" spans="2:40" x14ac:dyDescent="0.2">
      <c r="T61" s="1174"/>
      <c r="U61" s="114"/>
      <c r="V61" s="114"/>
      <c r="W61" s="114"/>
      <c r="X61" s="114"/>
      <c r="Y61" s="114"/>
      <c r="Z61" s="114"/>
      <c r="AA61" s="1175"/>
      <c r="AD61" s="1174"/>
      <c r="AE61" s="114"/>
      <c r="AF61" s="114"/>
      <c r="AG61" s="114"/>
      <c r="AH61" s="1175"/>
      <c r="AJ61" s="1174"/>
      <c r="AK61" s="114"/>
      <c r="AL61" s="114"/>
      <c r="AM61" s="114"/>
      <c r="AN61" s="1175"/>
    </row>
    <row r="62" spans="2:40" ht="18.75" x14ac:dyDescent="0.3">
      <c r="T62" s="103"/>
      <c r="U62" s="1365" t="s">
        <v>731</v>
      </c>
      <c r="V62" s="1365"/>
      <c r="W62" s="1365"/>
      <c r="X62" s="1365"/>
      <c r="Y62" s="1365"/>
      <c r="Z62" s="1365"/>
      <c r="AA62" s="1166"/>
      <c r="AD62" s="103"/>
      <c r="AE62" s="1365" t="s">
        <v>831</v>
      </c>
      <c r="AF62" s="1365"/>
      <c r="AG62" s="1365"/>
      <c r="AH62" s="1166"/>
      <c r="AJ62" s="103"/>
      <c r="AK62" s="1365" t="s">
        <v>864</v>
      </c>
      <c r="AL62" s="1365"/>
      <c r="AM62" s="1365"/>
      <c r="AN62" s="1166"/>
    </row>
    <row r="63" spans="2:40" ht="15" customHeight="1" x14ac:dyDescent="0.2">
      <c r="T63" s="103"/>
      <c r="U63" s="1360" t="s">
        <v>797</v>
      </c>
      <c r="V63" s="1360"/>
      <c r="W63" s="1360"/>
      <c r="X63" s="1360"/>
      <c r="Y63" s="1360"/>
      <c r="Z63" s="1360"/>
      <c r="AA63" s="1166"/>
      <c r="AD63" s="103"/>
      <c r="AE63" s="1360"/>
      <c r="AF63" s="1360"/>
      <c r="AG63" s="1360"/>
      <c r="AH63" s="1166"/>
      <c r="AJ63" s="103"/>
      <c r="AK63" s="99"/>
      <c r="AL63" s="99"/>
      <c r="AM63" s="99"/>
      <c r="AN63" s="1166"/>
    </row>
    <row r="64" spans="2:40" ht="15" customHeight="1" x14ac:dyDescent="0.2">
      <c r="T64" s="103"/>
      <c r="U64" s="1164"/>
      <c r="V64" s="1358">
        <f>Name</f>
        <v>0</v>
      </c>
      <c r="W64" s="1358"/>
      <c r="X64" s="1358"/>
      <c r="Y64" s="1358"/>
      <c r="Z64" s="1358"/>
      <c r="AA64" s="1166"/>
      <c r="AD64" s="103"/>
      <c r="AE64" s="1358">
        <f>Name</f>
        <v>0</v>
      </c>
      <c r="AF64" s="1358"/>
      <c r="AG64" s="1358"/>
      <c r="AH64" s="1228"/>
      <c r="AI64" s="1229"/>
      <c r="AJ64" s="103"/>
      <c r="AK64" s="1358">
        <f>Name</f>
        <v>0</v>
      </c>
      <c r="AL64" s="1358"/>
      <c r="AM64" s="1358"/>
      <c r="AN64" s="1166"/>
    </row>
    <row r="65" spans="20:40" ht="16.5" thickBot="1" x14ac:dyDescent="0.3">
      <c r="T65" s="103"/>
      <c r="U65" s="1165"/>
      <c r="V65" s="1165"/>
      <c r="W65" s="1165"/>
      <c r="X65" s="1165"/>
      <c r="Y65" s="1167" t="s">
        <v>51</v>
      </c>
      <c r="Z65" s="1167">
        <f>Year</f>
        <v>0</v>
      </c>
      <c r="AA65" s="1166"/>
      <c r="AD65" s="103"/>
      <c r="AE65" s="1165"/>
      <c r="AF65" s="1167" t="s">
        <v>51</v>
      </c>
      <c r="AG65" s="1167">
        <f>Year</f>
        <v>0</v>
      </c>
      <c r="AH65" s="1166"/>
      <c r="AJ65" s="103"/>
      <c r="AK65" s="1165"/>
      <c r="AL65" s="1190" t="s">
        <v>51</v>
      </c>
      <c r="AM65" s="1190">
        <f>Year</f>
        <v>0</v>
      </c>
      <c r="AN65" s="1166"/>
    </row>
    <row r="66" spans="20:40" ht="3" customHeight="1" thickBot="1" x14ac:dyDescent="0.25">
      <c r="T66" s="103"/>
      <c r="U66" s="99"/>
      <c r="V66" s="99"/>
      <c r="W66" s="99"/>
      <c r="X66" s="99"/>
      <c r="Y66" s="99"/>
      <c r="Z66" s="99"/>
      <c r="AA66" s="1166"/>
      <c r="AD66" s="103"/>
      <c r="AE66" s="1219"/>
      <c r="AF66" s="1195"/>
      <c r="AG66" s="915"/>
      <c r="AH66" s="1166"/>
      <c r="AJ66" s="103"/>
      <c r="AK66" s="1219"/>
      <c r="AL66" s="1195"/>
      <c r="AM66" s="915"/>
      <c r="AN66" s="1166"/>
    </row>
    <row r="67" spans="20:40" ht="15.75" x14ac:dyDescent="0.25">
      <c r="T67" s="103"/>
      <c r="U67" s="1380" t="s">
        <v>774</v>
      </c>
      <c r="V67" s="1381"/>
      <c r="W67" s="1195"/>
      <c r="X67" s="1195"/>
      <c r="Y67" s="1381" t="s">
        <v>775</v>
      </c>
      <c r="Z67" s="1382"/>
      <c r="AA67" s="1166"/>
      <c r="AD67" s="103"/>
      <c r="AE67" s="1220"/>
      <c r="AF67" s="1384"/>
      <c r="AG67" s="1385"/>
      <c r="AH67" s="1166"/>
      <c r="AJ67" s="103"/>
      <c r="AK67" s="1220"/>
      <c r="AL67" s="1384"/>
      <c r="AM67" s="1385"/>
      <c r="AN67" s="1166"/>
    </row>
    <row r="68" spans="20:40" x14ac:dyDescent="0.2">
      <c r="T68" s="103"/>
      <c r="U68" s="1105" t="s">
        <v>718</v>
      </c>
      <c r="V68" s="105">
        <f>'Final Income and Cash Flows'!C18</f>
        <v>0</v>
      </c>
      <c r="W68" s="105"/>
      <c r="X68" s="105"/>
      <c r="Y68" s="1163" t="s">
        <v>292</v>
      </c>
      <c r="Z68" s="123">
        <f>'Final Income and Cash Flows'!C33</f>
        <v>0</v>
      </c>
      <c r="AA68" s="1166"/>
      <c r="AD68" s="103"/>
      <c r="AE68" s="1105" t="s">
        <v>832</v>
      </c>
      <c r="AF68" s="1248" t="s">
        <v>866</v>
      </c>
      <c r="AG68" s="123">
        <f>(schFAssetsCashBeg+schFAACropBeg+schFAALvskBeg+schFAAARBeg+schFAAHedgeBeg+schFAAPrepaidBeg+schFAAOthInvBeg+schFAAGrowCropBeg+schFAssetsRLvskBeg+schFAssetsPLvskBeg+schFAssetsMachBeg+schFAssetsVehBeg+schFAssetsBuildBeg+schFAssetsLandBeg+schFAssetsPersonalBeg)-('Final Balance Sheet'!G61-schFLoanOpLoanBorrow-schFLoanTermBorrow-schFAAAPEnd-schFAAAccIntEnd-schFAAIncTaxEnd-schFPersonalLiabEnd+schFLoanOpLoanPay+schFLoanTermPay+schFAAAPBeg+schFAAAccIntBeg+schFAAIncTaxBeg+schFPersonalLiabBeg)</f>
        <v>0</v>
      </c>
      <c r="AH68" s="1166"/>
      <c r="AJ68" s="103"/>
      <c r="AK68" s="1105" t="s">
        <v>218</v>
      </c>
      <c r="AL68" s="1189"/>
      <c r="AM68" s="1237">
        <f>schFAssetsCashBeg</f>
        <v>0</v>
      </c>
      <c r="AN68" s="1166"/>
    </row>
    <row r="69" spans="20:40" x14ac:dyDescent="0.2">
      <c r="T69" s="103"/>
      <c r="U69" s="1105" t="s">
        <v>282</v>
      </c>
      <c r="V69" s="1062">
        <f>'Final Income and Cash Flows'!C19</f>
        <v>0</v>
      </c>
      <c r="W69" s="1062"/>
      <c r="X69" s="1062"/>
      <c r="Y69" s="1163" t="s">
        <v>304</v>
      </c>
      <c r="Z69" s="1196">
        <f>'Final Income and Cash Flows'!C34</f>
        <v>0</v>
      </c>
      <c r="AA69" s="1166"/>
      <c r="AD69" s="103"/>
      <c r="AE69" s="1105"/>
      <c r="AF69" s="1163"/>
      <c r="AG69" s="129"/>
      <c r="AH69" s="1166"/>
      <c r="AJ69" s="103"/>
      <c r="AK69" s="1105"/>
      <c r="AL69" s="1189"/>
      <c r="AM69" s="1238"/>
      <c r="AN69" s="1166"/>
    </row>
    <row r="70" spans="20:40" x14ac:dyDescent="0.2">
      <c r="T70" s="103"/>
      <c r="U70" s="1197" t="s">
        <v>323</v>
      </c>
      <c r="V70" s="1062">
        <f>'Final Income and Cash Flows'!C20</f>
        <v>0</v>
      </c>
      <c r="W70" s="1062"/>
      <c r="X70" s="1062"/>
      <c r="Y70" s="1163" t="s">
        <v>305</v>
      </c>
      <c r="Z70" s="1196">
        <f>'Final Income and Cash Flows'!C35</f>
        <v>0</v>
      </c>
      <c r="AA70" s="1168"/>
      <c r="AB70" s="1059"/>
      <c r="AD70" s="103"/>
      <c r="AE70" s="1221" t="s">
        <v>833</v>
      </c>
      <c r="AF70" s="1163"/>
      <c r="AG70" s="1196">
        <f>Z125</f>
        <v>0</v>
      </c>
      <c r="AH70" s="1168"/>
      <c r="AJ70" s="103"/>
      <c r="AK70" s="1232" t="s">
        <v>843</v>
      </c>
      <c r="AL70" s="1189"/>
      <c r="AM70" s="1239">
        <f>V100</f>
        <v>0</v>
      </c>
      <c r="AN70" s="1166"/>
    </row>
    <row r="71" spans="20:40" x14ac:dyDescent="0.2">
      <c r="T71" s="103"/>
      <c r="U71" s="1105" t="s">
        <v>283</v>
      </c>
      <c r="V71" s="1062">
        <f>'Final Income and Cash Flows'!C21</f>
        <v>0</v>
      </c>
      <c r="W71" s="1062"/>
      <c r="X71" s="1062"/>
      <c r="Y71" s="1163" t="s">
        <v>285</v>
      </c>
      <c r="Z71" s="1196">
        <f>'Final Income and Cash Flows'!C36</f>
        <v>0</v>
      </c>
      <c r="AA71" s="1166"/>
      <c r="AD71" s="103"/>
      <c r="AE71" s="1222" t="s">
        <v>834</v>
      </c>
      <c r="AF71" s="1163"/>
      <c r="AG71" s="1196">
        <f>schFPersonalIncome</f>
        <v>0</v>
      </c>
      <c r="AH71" s="1166"/>
      <c r="AJ71" s="103"/>
      <c r="AK71" s="1222" t="s">
        <v>845</v>
      </c>
      <c r="AL71" s="1189"/>
      <c r="AM71" s="1239">
        <f>Z100</f>
        <v>0</v>
      </c>
      <c r="AN71" s="1166"/>
    </row>
    <row r="72" spans="20:40" x14ac:dyDescent="0.2">
      <c r="T72" s="103"/>
      <c r="U72" s="1105" t="s">
        <v>441</v>
      </c>
      <c r="V72" s="1062">
        <f>'Final Income and Cash Flows'!C22</f>
        <v>0</v>
      </c>
      <c r="W72" s="1062"/>
      <c r="X72" s="1062"/>
      <c r="Y72" s="1163" t="s">
        <v>791</v>
      </c>
      <c r="Z72" s="1196">
        <f>'Final Income and Cash Flows'!C37+'Final Income and Cash Flows'!C38</f>
        <v>0</v>
      </c>
      <c r="AA72" s="1166"/>
      <c r="AD72" s="103"/>
      <c r="AE72" s="1222" t="s">
        <v>836</v>
      </c>
      <c r="AF72" s="1163"/>
      <c r="AG72" s="1196">
        <f>schFFamLiving</f>
        <v>0</v>
      </c>
      <c r="AH72" s="1166"/>
      <c r="AJ72" s="103"/>
      <c r="AK72" s="1242" t="s">
        <v>844</v>
      </c>
      <c r="AL72" s="1243"/>
      <c r="AM72" s="1244">
        <f>D21</f>
        <v>0</v>
      </c>
      <c r="AN72" s="1166"/>
    </row>
    <row r="73" spans="20:40" ht="12.75" customHeight="1" x14ac:dyDescent="0.2">
      <c r="T73" s="103"/>
      <c r="U73" s="1105" t="s">
        <v>284</v>
      </c>
      <c r="V73" s="1062">
        <f>'Final Income and Cash Flows'!C24</f>
        <v>0</v>
      </c>
      <c r="W73" s="1062"/>
      <c r="X73" s="1377" t="s">
        <v>308</v>
      </c>
      <c r="Y73" s="1377"/>
      <c r="Z73" s="1196">
        <f>'Final Income and Cash Flows'!C39</f>
        <v>0</v>
      </c>
      <c r="AA73" s="1166"/>
      <c r="AD73" s="103"/>
      <c r="AE73" s="1222" t="s">
        <v>835</v>
      </c>
      <c r="AF73" s="1163"/>
      <c r="AG73" s="1196">
        <f>schFAAIncTaxEnd+schFTaxes-schFAAIncTaxBeg</f>
        <v>0</v>
      </c>
      <c r="AH73" s="1166"/>
      <c r="AJ73" s="103"/>
      <c r="AK73" s="1222" t="s">
        <v>846</v>
      </c>
      <c r="AL73" s="1189"/>
      <c r="AM73" s="1239">
        <f>AM70-AM71+AM72</f>
        <v>0</v>
      </c>
      <c r="AN73" s="1166"/>
    </row>
    <row r="74" spans="20:40" ht="12.75" customHeight="1" x14ac:dyDescent="0.2">
      <c r="T74" s="103"/>
      <c r="U74" s="1105" t="s">
        <v>483</v>
      </c>
      <c r="V74" s="1062">
        <f>'Final Income and Cash Flows'!C25</f>
        <v>0</v>
      </c>
      <c r="W74" s="1062"/>
      <c r="X74" s="1377" t="s">
        <v>309</v>
      </c>
      <c r="Y74" s="1377"/>
      <c r="Z74" s="1196">
        <f>'Final Income and Cash Flows'!C40</f>
        <v>0</v>
      </c>
      <c r="AA74" s="1166"/>
      <c r="AD74" s="103"/>
      <c r="AE74" s="1222" t="s">
        <v>837</v>
      </c>
      <c r="AF74" s="1163"/>
      <c r="AG74" s="1196">
        <f>schFAssetsPersonalEnd-SUM('Schedule F Cash to Accrual'!P37:P44)+SUM('Schedule F Cash to Accrual'!P47:P54)-schFAssetsPersonalBeg-schFPersLoanTermPay+schFPersLoanTermBorrow</f>
        <v>0</v>
      </c>
      <c r="AH74" s="1166"/>
      <c r="AJ74" s="103"/>
      <c r="AK74" s="1222"/>
      <c r="AL74" s="1189"/>
      <c r="AM74" s="1239"/>
      <c r="AN74" s="1166"/>
    </row>
    <row r="75" spans="20:40" x14ac:dyDescent="0.2">
      <c r="T75" s="103"/>
      <c r="U75" s="1105" t="s">
        <v>286</v>
      </c>
      <c r="V75" s="1062">
        <f>'Final Income and Cash Flows'!C26</f>
        <v>0</v>
      </c>
      <c r="W75" s="1062"/>
      <c r="X75" s="1062"/>
      <c r="Y75" s="1163" t="s">
        <v>310</v>
      </c>
      <c r="Z75" s="1196">
        <f>'Final Income and Cash Flows'!C41</f>
        <v>0</v>
      </c>
      <c r="AA75" s="1166"/>
      <c r="AD75" s="103"/>
      <c r="AE75" s="1222" t="s">
        <v>838</v>
      </c>
      <c r="AF75" s="1247"/>
      <c r="AG75" s="1196">
        <f>schFPersonalLiabBeg-schFPersonalLiabEnd</f>
        <v>0</v>
      </c>
      <c r="AH75" s="1166"/>
      <c r="AJ75" s="103"/>
      <c r="AK75" s="1222" t="s">
        <v>847</v>
      </c>
      <c r="AL75" s="1189"/>
      <c r="AM75" s="1239">
        <f>schFSaleLvsk</f>
        <v>0</v>
      </c>
      <c r="AN75" s="1166"/>
    </row>
    <row r="76" spans="20:40" x14ac:dyDescent="0.2">
      <c r="T76" s="103"/>
      <c r="U76" s="1198" t="s">
        <v>280</v>
      </c>
      <c r="V76" s="1062">
        <f>'Final Income and Cash Flows'!C28</f>
        <v>0</v>
      </c>
      <c r="W76" s="1062"/>
      <c r="X76" s="1062"/>
      <c r="Y76" s="1163" t="s">
        <v>482</v>
      </c>
      <c r="Z76" s="1196">
        <f>'Final Income and Cash Flows'!C42</f>
        <v>0</v>
      </c>
      <c r="AA76" s="1166"/>
      <c r="AD76" s="103"/>
      <c r="AE76" s="1224" t="s">
        <v>850</v>
      </c>
      <c r="AF76" s="99"/>
      <c r="AG76" s="1196">
        <f>schFInherit</f>
        <v>0</v>
      </c>
      <c r="AH76" s="1166"/>
      <c r="AJ76" s="103"/>
      <c r="AK76" s="1222" t="s">
        <v>861</v>
      </c>
      <c r="AL76" s="1189"/>
      <c r="AM76" s="1239">
        <f>schFSaleMach+schFSaleVehicle+schFSaleBldg+schFSaleOther+schFSaleLand</f>
        <v>0</v>
      </c>
      <c r="AN76" s="1166"/>
    </row>
    <row r="77" spans="20:40" x14ac:dyDescent="0.2">
      <c r="T77" s="103"/>
      <c r="U77" s="1199" t="s">
        <v>0</v>
      </c>
      <c r="V77" s="1062">
        <f>'Final Income and Cash Flows'!C29</f>
        <v>0</v>
      </c>
      <c r="W77" s="1062"/>
      <c r="X77" s="99"/>
      <c r="Y77" s="1163" t="s">
        <v>317</v>
      </c>
      <c r="Z77" s="1196">
        <f>'Final Income and Cash Flows'!C43</f>
        <v>0</v>
      </c>
      <c r="AA77" s="1166"/>
      <c r="AD77" s="103"/>
      <c r="AE77" s="1231" t="s">
        <v>851</v>
      </c>
      <c r="AF77" s="1187"/>
      <c r="AG77" s="1223">
        <f>schFGiftsGive</f>
        <v>0</v>
      </c>
      <c r="AH77" s="1166"/>
      <c r="AJ77" s="103"/>
      <c r="AK77" s="1222" t="s">
        <v>863</v>
      </c>
      <c r="AL77" s="1189"/>
      <c r="AM77" s="1239">
        <f>SUM(P47:P54)</f>
        <v>0</v>
      </c>
      <c r="AN77" s="1166"/>
    </row>
    <row r="78" spans="20:40" ht="12.75" customHeight="1" x14ac:dyDescent="0.2">
      <c r="T78" s="103"/>
      <c r="U78" s="1199"/>
      <c r="V78" s="1062"/>
      <c r="W78" s="1062"/>
      <c r="X78" s="1276" t="s">
        <v>300</v>
      </c>
      <c r="Y78" s="1342"/>
      <c r="Z78" s="1196">
        <f>schFFeederPurch</f>
        <v>0</v>
      </c>
      <c r="AA78" s="1166"/>
      <c r="AD78" s="103"/>
      <c r="AE78" s="1230"/>
      <c r="AG78" s="1196"/>
      <c r="AH78" s="1166"/>
      <c r="AJ78" s="103"/>
      <c r="AK78" s="1232" t="s">
        <v>848</v>
      </c>
      <c r="AL78" s="1189"/>
      <c r="AM78" s="1239">
        <f>schFPurchlvsk</f>
        <v>0</v>
      </c>
      <c r="AN78" s="1166"/>
    </row>
    <row r="79" spans="20:40" x14ac:dyDescent="0.2">
      <c r="T79" s="103"/>
      <c r="U79" s="154"/>
      <c r="V79" s="99"/>
      <c r="W79" s="99"/>
      <c r="X79" s="99"/>
      <c r="Y79" s="1163" t="s">
        <v>301</v>
      </c>
      <c r="Z79" s="1196">
        <f>'Final Income and Cash Flows'!C45</f>
        <v>0</v>
      </c>
      <c r="AA79" s="1166"/>
      <c r="AD79" s="103"/>
      <c r="AE79" s="1052" t="s">
        <v>849</v>
      </c>
      <c r="AF79" s="1248" t="s">
        <v>867</v>
      </c>
      <c r="AG79" s="1196">
        <f>AG70+AG71-AG72-AG73+AG74+AG75+AG76-AG77</f>
        <v>0</v>
      </c>
      <c r="AH79" s="1166"/>
      <c r="AJ79" s="103"/>
      <c r="AK79" s="1052" t="s">
        <v>862</v>
      </c>
      <c r="AL79" s="672"/>
      <c r="AM79" s="1239">
        <f>SUM(P22:P26)</f>
        <v>0</v>
      </c>
      <c r="AN79" s="1166"/>
    </row>
    <row r="80" spans="20:40" ht="12.75" customHeight="1" x14ac:dyDescent="0.2">
      <c r="T80" s="103"/>
      <c r="U80" s="154"/>
      <c r="V80" s="99"/>
      <c r="W80" s="99"/>
      <c r="X80" s="99"/>
      <c r="Y80" s="1163" t="s">
        <v>511</v>
      </c>
      <c r="Z80" s="1196">
        <f>'Final Income and Cash Flows'!C46</f>
        <v>0</v>
      </c>
      <c r="AA80" s="1166"/>
      <c r="AD80" s="103"/>
      <c r="AE80" s="1052"/>
      <c r="AG80" s="1196"/>
      <c r="AH80" s="1166"/>
      <c r="AJ80" s="103"/>
      <c r="AK80" s="1245" t="s">
        <v>852</v>
      </c>
      <c r="AL80" s="1246"/>
      <c r="AM80" s="1244">
        <f>SUM(P37:P44)</f>
        <v>0</v>
      </c>
      <c r="AN80" s="1166"/>
    </row>
    <row r="81" spans="20:40" ht="12.75" customHeight="1" x14ac:dyDescent="0.2">
      <c r="T81" s="103"/>
      <c r="U81" s="154"/>
      <c r="V81" s="99"/>
      <c r="W81" s="99"/>
      <c r="X81" s="1377" t="s">
        <v>294</v>
      </c>
      <c r="Y81" s="1377"/>
      <c r="Z81" s="1196">
        <f>'Final Income and Cash Flows'!C47</f>
        <v>0</v>
      </c>
      <c r="AA81" s="1166"/>
      <c r="AD81" s="103"/>
      <c r="AE81" s="1052"/>
      <c r="AG81" s="1196"/>
      <c r="AH81" s="1166"/>
      <c r="AJ81" s="103"/>
      <c r="AK81" s="1052" t="s">
        <v>853</v>
      </c>
      <c r="AL81" s="672"/>
      <c r="AM81" s="1239">
        <f>AM75+AM76+AM77-AM78-AM79-AM80</f>
        <v>0</v>
      </c>
      <c r="AN81" s="1166"/>
    </row>
    <row r="82" spans="20:40" x14ac:dyDescent="0.2">
      <c r="T82" s="103"/>
      <c r="U82" s="154"/>
      <c r="V82" s="99"/>
      <c r="W82" s="99"/>
      <c r="X82" s="1377" t="s">
        <v>299</v>
      </c>
      <c r="Y82" s="1377"/>
      <c r="Z82" s="1196">
        <f>'Final Income and Cash Flows'!C48</f>
        <v>0</v>
      </c>
      <c r="AA82" s="1166"/>
      <c r="AD82" s="103"/>
      <c r="AE82" s="154"/>
      <c r="AF82" s="99"/>
      <c r="AG82" s="129"/>
      <c r="AH82" s="1166"/>
      <c r="AJ82" s="103"/>
      <c r="AK82" s="1052"/>
      <c r="AL82" s="672"/>
      <c r="AM82" s="1239"/>
      <c r="AN82" s="1166"/>
    </row>
    <row r="83" spans="20:40" ht="12.75" customHeight="1" x14ac:dyDescent="0.2">
      <c r="T83" s="103"/>
      <c r="U83" s="154"/>
      <c r="V83" s="99"/>
      <c r="W83" s="99"/>
      <c r="X83" s="99"/>
      <c r="Y83" s="1163" t="s">
        <v>298</v>
      </c>
      <c r="Z83" s="1196">
        <f>'Final Income and Cash Flows'!C49</f>
        <v>0</v>
      </c>
      <c r="AA83" s="1166"/>
      <c r="AD83" s="103"/>
      <c r="AE83" s="154"/>
      <c r="AF83" s="1163"/>
      <c r="AG83" s="1196"/>
      <c r="AH83" s="1166"/>
      <c r="AJ83" s="103"/>
      <c r="AK83" s="557" t="s">
        <v>854</v>
      </c>
      <c r="AL83" s="672"/>
      <c r="AM83" s="1249">
        <f>SUM('Schedule F Entry'!E70:E72)-SUM('Schedule F Entry'!E75:E77)</f>
        <v>0</v>
      </c>
      <c r="AN83" s="1166"/>
    </row>
    <row r="84" spans="20:40" x14ac:dyDescent="0.2">
      <c r="T84" s="103"/>
      <c r="U84" s="154"/>
      <c r="V84" s="99"/>
      <c r="W84" s="99"/>
      <c r="X84" s="1377" t="s">
        <v>295</v>
      </c>
      <c r="Y84" s="1377"/>
      <c r="Z84" s="1196">
        <f>'Final Income and Cash Flows'!C51</f>
        <v>0</v>
      </c>
      <c r="AA84" s="1166"/>
      <c r="AD84" s="103"/>
      <c r="AE84" s="550" t="s">
        <v>840</v>
      </c>
      <c r="AF84" s="1248" t="s">
        <v>868</v>
      </c>
      <c r="AG84" s="1196">
        <f>AG68+AG79</f>
        <v>0</v>
      </c>
      <c r="AH84" s="1166"/>
      <c r="AJ84" s="103"/>
      <c r="AK84" s="1052" t="s">
        <v>834</v>
      </c>
      <c r="AL84" s="1189"/>
      <c r="AM84" s="1239">
        <f>schFPersonalIncome</f>
        <v>0</v>
      </c>
      <c r="AN84" s="1166"/>
    </row>
    <row r="85" spans="20:40" ht="12.75" customHeight="1" x14ac:dyDescent="0.2">
      <c r="T85" s="103"/>
      <c r="U85" s="154"/>
      <c r="V85" s="99"/>
      <c r="W85" s="99"/>
      <c r="X85" s="99"/>
      <c r="Y85" s="1163" t="s">
        <v>287</v>
      </c>
      <c r="Z85" s="1196">
        <f>'Final Income and Cash Flows'!C52</f>
        <v>0</v>
      </c>
      <c r="AA85" s="1166"/>
      <c r="AD85" s="103"/>
      <c r="AE85" s="550" t="s">
        <v>841</v>
      </c>
      <c r="AF85" s="1163"/>
      <c r="AG85" s="1196">
        <f>'Final Balance Sheet'!G62</f>
        <v>0</v>
      </c>
      <c r="AH85" s="1166"/>
      <c r="AJ85" s="103"/>
      <c r="AK85" s="1052" t="s">
        <v>855</v>
      </c>
      <c r="AL85" s="1189"/>
      <c r="AM85" s="1239">
        <f>schFFamLiving</f>
        <v>0</v>
      </c>
      <c r="AN85" s="1166"/>
    </row>
    <row r="86" spans="20:40" ht="12.75" customHeight="1" x14ac:dyDescent="0.2">
      <c r="T86" s="103"/>
      <c r="U86" s="154"/>
      <c r="V86" s="99"/>
      <c r="W86" s="99"/>
      <c r="X86" s="1377" t="s">
        <v>44</v>
      </c>
      <c r="Y86" s="1377"/>
      <c r="Z86" s="1196">
        <f>'Final Income and Cash Flows'!C53</f>
        <v>0</v>
      </c>
      <c r="AA86" s="1166"/>
      <c r="AD86" s="103"/>
      <c r="AE86" s="1386" t="str">
        <f>IF(AG84-AG85&lt;&gt;0,"Discrepancy","")</f>
        <v/>
      </c>
      <c r="AF86" s="1387"/>
      <c r="AG86" s="1225" t="str">
        <f>IF(AG84-AG85&lt;&gt;0,AG84-AG85,"")</f>
        <v/>
      </c>
      <c r="AH86" s="1166"/>
      <c r="AJ86" s="103"/>
      <c r="AK86" s="1052" t="s">
        <v>856</v>
      </c>
      <c r="AL86" s="1189"/>
      <c r="AM86" s="1239">
        <f>schFTaxes</f>
        <v>0</v>
      </c>
      <c r="AN86" s="1166"/>
    </row>
    <row r="87" spans="20:40" ht="13.5" thickBot="1" x14ac:dyDescent="0.25">
      <c r="T87" s="103"/>
      <c r="U87" s="154"/>
      <c r="V87" s="99"/>
      <c r="W87" s="99"/>
      <c r="X87" s="1377" t="s">
        <v>70</v>
      </c>
      <c r="Y87" s="1377"/>
      <c r="Z87" s="1196">
        <f>'Final Income and Cash Flows'!C54</f>
        <v>0</v>
      </c>
      <c r="AA87" s="1166"/>
      <c r="AD87" s="103"/>
      <c r="AE87" s="936"/>
      <c r="AF87" s="1226"/>
      <c r="AG87" s="1227"/>
      <c r="AH87" s="1166"/>
      <c r="AJ87" s="103"/>
      <c r="AK87" s="1052" t="s">
        <v>857</v>
      </c>
      <c r="AL87" s="1240"/>
      <c r="AM87" s="1239">
        <f>schFInherit</f>
        <v>0</v>
      </c>
      <c r="AN87" s="1166"/>
    </row>
    <row r="88" spans="20:40" x14ac:dyDescent="0.2">
      <c r="T88" s="103"/>
      <c r="U88" s="154"/>
      <c r="V88" s="99"/>
      <c r="W88" s="99"/>
      <c r="X88" s="99"/>
      <c r="Y88" s="1163" t="s">
        <v>291</v>
      </c>
      <c r="Z88" s="1196">
        <f>'Final Income and Cash Flows'!C55</f>
        <v>0</v>
      </c>
      <c r="AA88" s="1166"/>
      <c r="AD88" s="1186"/>
      <c r="AE88" s="1187"/>
      <c r="AF88" s="1192"/>
      <c r="AG88" s="1191"/>
      <c r="AH88" s="1188"/>
      <c r="AJ88" s="103"/>
      <c r="AK88" s="1245" t="s">
        <v>865</v>
      </c>
      <c r="AL88" s="1243"/>
      <c r="AM88" s="1244">
        <f>schFGiftsGive</f>
        <v>0</v>
      </c>
      <c r="AN88" s="1166"/>
    </row>
    <row r="89" spans="20:40" x14ac:dyDescent="0.2">
      <c r="T89" s="103"/>
      <c r="U89" s="154"/>
      <c r="V89" s="99"/>
      <c r="W89" s="99"/>
      <c r="X89" s="99"/>
      <c r="Y89" s="1163" t="s">
        <v>293</v>
      </c>
      <c r="Z89" s="1196">
        <f>'Final Income and Cash Flows'!C56</f>
        <v>0</v>
      </c>
      <c r="AA89" s="1166"/>
      <c r="AC89" s="99"/>
      <c r="AD89" s="99"/>
      <c r="AE89" s="99"/>
      <c r="AF89" s="1163"/>
      <c r="AG89" s="1062"/>
      <c r="AH89" s="99"/>
      <c r="AI89" s="99"/>
      <c r="AJ89" s="103"/>
      <c r="AK89" s="1052" t="s">
        <v>858</v>
      </c>
      <c r="AL89" s="672"/>
      <c r="AM89" s="1241">
        <f>-AM83+AM84-AM85-AM86+AM87-AM88</f>
        <v>0</v>
      </c>
      <c r="AN89" s="1166"/>
    </row>
    <row r="90" spans="20:40" ht="12.75" customHeight="1" x14ac:dyDescent="0.2">
      <c r="T90" s="103"/>
      <c r="U90" s="154"/>
      <c r="V90" s="99"/>
      <c r="W90" s="99"/>
      <c r="X90" s="99"/>
      <c r="Y90" s="1163" t="s">
        <v>46</v>
      </c>
      <c r="Z90" s="1196">
        <f>'Final Income and Cash Flows'!C57</f>
        <v>0</v>
      </c>
      <c r="AA90" s="1166"/>
      <c r="AC90" s="99"/>
      <c r="AD90" s="99"/>
      <c r="AE90" s="99"/>
      <c r="AF90" s="1163"/>
      <c r="AG90" s="1062"/>
      <c r="AH90" s="99"/>
      <c r="AI90" s="99"/>
      <c r="AJ90" s="103"/>
      <c r="AK90" s="550"/>
      <c r="AL90" s="99"/>
      <c r="AM90" s="129"/>
      <c r="AN90" s="1166"/>
    </row>
    <row r="91" spans="20:40" ht="12.75" customHeight="1" x14ac:dyDescent="0.2">
      <c r="T91" s="103"/>
      <c r="U91" s="154"/>
      <c r="V91" s="99"/>
      <c r="W91" s="1377" t="s">
        <v>790</v>
      </c>
      <c r="X91" s="1377"/>
      <c r="Y91" s="1377"/>
      <c r="Z91" s="1196">
        <f>'Final Income and Cash Flows'!C58+'Final Income and Cash Flows'!C50</f>
        <v>0</v>
      </c>
      <c r="AA91" s="1166"/>
      <c r="AJ91" s="103"/>
      <c r="AK91" s="550" t="s">
        <v>859</v>
      </c>
      <c r="AL91" s="99"/>
      <c r="AM91" s="1233">
        <f>AM73+AM81+AM89</f>
        <v>0</v>
      </c>
      <c r="AN91" s="1166"/>
    </row>
    <row r="92" spans="20:40" ht="12.75" customHeight="1" x14ac:dyDescent="0.2">
      <c r="T92" s="103"/>
      <c r="U92" s="154"/>
      <c r="V92" s="99"/>
      <c r="W92" s="99"/>
      <c r="X92" s="1375" t="s">
        <v>290</v>
      </c>
      <c r="Y92" s="1375"/>
      <c r="Z92" s="1196">
        <f>'Final Income and Cash Flows'!C63</f>
        <v>0</v>
      </c>
      <c r="AA92" s="1166"/>
      <c r="AJ92" s="103"/>
      <c r="AK92" s="550" t="s">
        <v>860</v>
      </c>
      <c r="AL92" s="99"/>
      <c r="AM92" s="118">
        <f>'Final Balance Sheet'!C8</f>
        <v>0</v>
      </c>
      <c r="AN92" s="1166"/>
    </row>
    <row r="93" spans="20:40" ht="12.75" customHeight="1" thickBot="1" x14ac:dyDescent="0.25">
      <c r="T93" s="103"/>
      <c r="U93" s="154"/>
      <c r="V93" s="99"/>
      <c r="W93" s="99"/>
      <c r="X93" s="99"/>
      <c r="Y93" s="1163" t="s">
        <v>871</v>
      </c>
      <c r="Z93" s="1196">
        <f>'Final Income and Cash Flows'!C64</f>
        <v>0</v>
      </c>
      <c r="AA93" s="1166"/>
      <c r="AJ93" s="103"/>
      <c r="AK93" s="1234" t="str">
        <f>IF((AM68+AM91)-AM92&lt;&gt;0,"Discrepancy","")</f>
        <v/>
      </c>
      <c r="AL93" s="1235"/>
      <c r="AM93" s="1236" t="str">
        <f>IF((AM68+AM91)-AM92&lt;&gt;0,(AM68+AM91)-AM92,"")</f>
        <v/>
      </c>
      <c r="AN93" s="1166"/>
    </row>
    <row r="94" spans="20:40" ht="12.75" customHeight="1" x14ac:dyDescent="0.2">
      <c r="T94" s="103"/>
      <c r="U94" s="154"/>
      <c r="V94" s="99"/>
      <c r="W94" s="99"/>
      <c r="X94" s="99"/>
      <c r="Y94" s="1161" t="s">
        <v>289</v>
      </c>
      <c r="Z94" s="1196">
        <f>'Final Income and Cash Flows'!C68</f>
        <v>0</v>
      </c>
      <c r="AA94" s="1166"/>
      <c r="AD94" s="99"/>
      <c r="AE94" s="99"/>
      <c r="AF94" s="1161"/>
      <c r="AG94" s="1062"/>
      <c r="AH94" s="99"/>
      <c r="AJ94" s="1186"/>
      <c r="AK94" s="1187"/>
      <c r="AL94" s="1187"/>
      <c r="AM94" s="1187"/>
      <c r="AN94" s="1188"/>
    </row>
    <row r="95" spans="20:40" ht="12.75" customHeight="1" x14ac:dyDescent="0.2">
      <c r="T95" s="103"/>
      <c r="U95" s="154"/>
      <c r="V95" s="99"/>
      <c r="W95" s="99"/>
      <c r="X95" s="1375" t="s">
        <v>721</v>
      </c>
      <c r="Y95" s="1375"/>
      <c r="Z95" s="1196">
        <f>'Final Income and Cash Flows'!C69</f>
        <v>0</v>
      </c>
      <c r="AA95" s="1166"/>
      <c r="AD95" s="99"/>
      <c r="AE95" s="99"/>
      <c r="AF95" s="1162"/>
      <c r="AG95" s="1062"/>
      <c r="AH95" s="99"/>
    </row>
    <row r="96" spans="20:40" x14ac:dyDescent="0.2">
      <c r="T96" s="103"/>
      <c r="U96" s="154"/>
      <c r="V96" s="99"/>
      <c r="W96" s="99"/>
      <c r="X96" s="1376" t="s">
        <v>288</v>
      </c>
      <c r="Y96" s="1376"/>
      <c r="Z96" s="1196">
        <f>'Final Income and Cash Flows'!C71</f>
        <v>0</v>
      </c>
      <c r="AA96" s="1166"/>
      <c r="AD96" s="99"/>
      <c r="AE96" s="99"/>
      <c r="AF96" s="1162"/>
      <c r="AG96" s="1062"/>
      <c r="AH96" s="99"/>
    </row>
    <row r="97" spans="20:34" x14ac:dyDescent="0.2">
      <c r="T97" s="103"/>
      <c r="U97" s="154"/>
      <c r="V97" s="99"/>
      <c r="W97" s="99"/>
      <c r="X97" s="99"/>
      <c r="Y97" s="1162" t="s">
        <v>65</v>
      </c>
      <c r="Z97" s="1196">
        <f>'Final Income and Cash Flows'!C72</f>
        <v>0</v>
      </c>
      <c r="AA97" s="1166"/>
      <c r="AD97" s="99"/>
      <c r="AE97" s="99"/>
      <c r="AF97" s="1161"/>
      <c r="AG97" s="1062"/>
      <c r="AH97" s="99"/>
    </row>
    <row r="98" spans="20:34" ht="12.75" customHeight="1" x14ac:dyDescent="0.2">
      <c r="T98" s="103"/>
      <c r="U98" s="154"/>
      <c r="V98" s="99"/>
      <c r="W98" s="99"/>
      <c r="X98" s="99"/>
      <c r="Y98" s="1161" t="s">
        <v>789</v>
      </c>
      <c r="Z98" s="1196">
        <f>'Final Income and Cash Flows'!C73+'Final Income and Cash Flows'!C59+'Final Income and Cash Flows'!C70</f>
        <v>0</v>
      </c>
      <c r="AA98" s="1166"/>
      <c r="AD98" s="99"/>
      <c r="AE98" s="99"/>
      <c r="AF98" s="99"/>
      <c r="AG98" s="99"/>
      <c r="AH98" s="99"/>
    </row>
    <row r="99" spans="20:34" ht="2.1" customHeight="1" x14ac:dyDescent="0.25">
      <c r="T99" s="103"/>
      <c r="U99" s="154"/>
      <c r="V99" s="99"/>
      <c r="W99" s="99"/>
      <c r="X99" s="99"/>
      <c r="Y99" s="99"/>
      <c r="Z99" s="129"/>
      <c r="AA99" s="1166"/>
      <c r="AD99" s="99"/>
      <c r="AE99" s="1194"/>
      <c r="AF99" s="1173"/>
      <c r="AG99" s="1055"/>
      <c r="AH99" s="99"/>
    </row>
    <row r="100" spans="20:34" ht="15.75" x14ac:dyDescent="0.25">
      <c r="T100" s="103"/>
      <c r="U100" s="1200" t="s">
        <v>795</v>
      </c>
      <c r="V100" s="1069">
        <f>SUM(V68:V98)</f>
        <v>0</v>
      </c>
      <c r="W100" s="1169"/>
      <c r="X100" s="1379" t="s">
        <v>777</v>
      </c>
      <c r="Y100" s="1379"/>
      <c r="Z100" s="1201">
        <f>SUM(Z68:Z98)</f>
        <v>0</v>
      </c>
      <c r="AA100" s="1166"/>
      <c r="AD100" s="99"/>
      <c r="AE100" s="99"/>
      <c r="AF100" s="1170"/>
      <c r="AG100" s="1176"/>
      <c r="AH100" s="99"/>
    </row>
    <row r="101" spans="20:34" ht="15" x14ac:dyDescent="0.2">
      <c r="T101" s="103"/>
      <c r="U101" s="154"/>
      <c r="V101" s="99"/>
      <c r="W101" s="99"/>
      <c r="X101" s="1373" t="s">
        <v>778</v>
      </c>
      <c r="Y101" s="1373"/>
      <c r="Z101" s="1202">
        <f>V100-Z100</f>
        <v>0</v>
      </c>
      <c r="AA101" s="1166"/>
      <c r="AD101" s="99"/>
      <c r="AE101" s="99"/>
      <c r="AF101" s="672"/>
      <c r="AG101" s="105"/>
      <c r="AH101" s="99"/>
    </row>
    <row r="102" spans="20:34" ht="3" customHeight="1" x14ac:dyDescent="0.2">
      <c r="T102" s="103"/>
      <c r="U102" s="154"/>
      <c r="V102" s="99"/>
      <c r="W102" s="99"/>
      <c r="X102" s="99"/>
      <c r="Y102" s="672"/>
      <c r="Z102" s="123"/>
      <c r="AA102" s="1166"/>
      <c r="AD102" s="99"/>
      <c r="AE102" s="99"/>
      <c r="AF102" s="1171"/>
      <c r="AG102" s="1171"/>
      <c r="AH102" s="99"/>
    </row>
    <row r="103" spans="20:34" x14ac:dyDescent="0.2">
      <c r="T103" s="103"/>
      <c r="U103" s="154"/>
      <c r="V103" s="1171" t="s">
        <v>787</v>
      </c>
      <c r="W103" s="1171" t="s">
        <v>782</v>
      </c>
      <c r="X103" s="1171" t="s">
        <v>783</v>
      </c>
      <c r="Y103" s="1171" t="s">
        <v>788</v>
      </c>
      <c r="Z103" s="1203" t="s">
        <v>781</v>
      </c>
      <c r="AA103" s="1166"/>
      <c r="AD103" s="99"/>
      <c r="AE103" s="672"/>
      <c r="AF103" s="1172"/>
      <c r="AG103" s="1172"/>
      <c r="AH103" s="99"/>
    </row>
    <row r="104" spans="20:34" x14ac:dyDescent="0.2">
      <c r="T104" s="103"/>
      <c r="U104" s="140" t="s">
        <v>256</v>
      </c>
      <c r="V104" s="1172">
        <f>schFAACropBeg</f>
        <v>0</v>
      </c>
      <c r="W104" s="1172"/>
      <c r="X104" s="1172"/>
      <c r="Y104" s="1172">
        <f>schFAACropEnd</f>
        <v>0</v>
      </c>
      <c r="Z104" s="1204">
        <f>Y104-V104</f>
        <v>0</v>
      </c>
      <c r="AA104" s="1166"/>
      <c r="AD104" s="99"/>
      <c r="AE104" s="672"/>
      <c r="AF104" s="1172"/>
      <c r="AG104" s="1172"/>
      <c r="AH104" s="99"/>
    </row>
    <row r="105" spans="20:34" x14ac:dyDescent="0.2">
      <c r="T105" s="103"/>
      <c r="U105" s="140" t="s">
        <v>258</v>
      </c>
      <c r="V105" s="1172">
        <f>schFAALvskBeg</f>
        <v>0</v>
      </c>
      <c r="W105" s="1172"/>
      <c r="X105" s="1172"/>
      <c r="Y105" s="1172">
        <f>schFAALvskEnd</f>
        <v>0</v>
      </c>
      <c r="Z105" s="1204">
        <f t="shared" ref="Z105:Z106" si="1">Y105-V105</f>
        <v>0</v>
      </c>
      <c r="AA105" s="1166"/>
      <c r="AD105" s="99"/>
      <c r="AE105" s="672"/>
      <c r="AF105" s="1172"/>
      <c r="AG105" s="1172"/>
      <c r="AH105" s="99"/>
    </row>
    <row r="106" spans="20:34" x14ac:dyDescent="0.2">
      <c r="T106" s="103"/>
      <c r="U106" s="140" t="s">
        <v>779</v>
      </c>
      <c r="V106" s="1172">
        <f>schFAAARBeg</f>
        <v>0</v>
      </c>
      <c r="W106" s="1172"/>
      <c r="X106" s="1172"/>
      <c r="Y106" s="1172">
        <f>schFAAAREnd</f>
        <v>0</v>
      </c>
      <c r="Z106" s="1204">
        <f t="shared" si="1"/>
        <v>0</v>
      </c>
      <c r="AA106" s="1166"/>
      <c r="AD106" s="99"/>
      <c r="AE106" s="672"/>
      <c r="AF106" s="1172"/>
      <c r="AG106" s="1172"/>
      <c r="AH106" s="99"/>
    </row>
    <row r="107" spans="20:34" x14ac:dyDescent="0.2">
      <c r="T107" s="103"/>
      <c r="U107" s="140" t="s">
        <v>536</v>
      </c>
      <c r="V107" s="1172">
        <f>schFAAHedgeBeg</f>
        <v>0</v>
      </c>
      <c r="W107" s="1172">
        <f>IF(D21&gt;0,D21,0)</f>
        <v>0</v>
      </c>
      <c r="X107" s="1172">
        <f>IF(D21&lt;0,D21,0)</f>
        <v>0</v>
      </c>
      <c r="Y107" s="1172">
        <f>schFAAHedgeEnd</f>
        <v>0</v>
      </c>
      <c r="Z107" s="1204">
        <f>Y107+W107-X107-V107</f>
        <v>0</v>
      </c>
      <c r="AA107" s="1166"/>
      <c r="AD107" s="99"/>
      <c r="AE107" s="672"/>
      <c r="AF107" s="1172"/>
      <c r="AG107" s="1172"/>
      <c r="AH107" s="99"/>
    </row>
    <row r="108" spans="20:34" x14ac:dyDescent="0.2">
      <c r="T108" s="103"/>
      <c r="U108" s="140" t="s">
        <v>537</v>
      </c>
      <c r="V108" s="1172">
        <f>'Schedule F Entry'!D84</f>
        <v>0</v>
      </c>
      <c r="W108" s="1172">
        <f>schFPurchOther</f>
        <v>0</v>
      </c>
      <c r="X108" s="1172">
        <f>schFSaleOther</f>
        <v>0</v>
      </c>
      <c r="Y108" s="1172">
        <f>schFAAOthInvEnd</f>
        <v>0</v>
      </c>
      <c r="Z108" s="1204">
        <f>Y108+W108-X108-V108</f>
        <v>0</v>
      </c>
      <c r="AA108" s="1166"/>
      <c r="AD108" s="99"/>
      <c r="AE108" s="672"/>
      <c r="AF108" s="1172"/>
      <c r="AG108" s="1172"/>
      <c r="AH108" s="99"/>
    </row>
    <row r="109" spans="20:34" x14ac:dyDescent="0.2">
      <c r="T109" s="103"/>
      <c r="U109" s="140" t="s">
        <v>763</v>
      </c>
      <c r="V109" s="1172">
        <f>schFAssetsRLvskBeg</f>
        <v>0</v>
      </c>
      <c r="W109" s="1172"/>
      <c r="X109" s="1172"/>
      <c r="Y109" s="1172">
        <f>schFAssetsRLvskEnd</f>
        <v>0</v>
      </c>
      <c r="Z109" s="1204">
        <f t="shared" ref="Z109:Z110" si="2">Y109-V109</f>
        <v>0</v>
      </c>
      <c r="AA109" s="1166"/>
      <c r="AD109" s="99"/>
      <c r="AE109" s="672"/>
      <c r="AF109" s="1172"/>
      <c r="AG109" s="1172"/>
      <c r="AH109" s="99"/>
    </row>
    <row r="110" spans="20:34" x14ac:dyDescent="0.2">
      <c r="T110" s="103"/>
      <c r="U110" s="140" t="s">
        <v>780</v>
      </c>
      <c r="V110" s="1172">
        <f>schFAAPrepaidBeg</f>
        <v>0</v>
      </c>
      <c r="W110" s="1172"/>
      <c r="X110" s="1172"/>
      <c r="Y110" s="1172">
        <f>schFAAPrepaidEnd</f>
        <v>0</v>
      </c>
      <c r="Z110" s="1204">
        <f t="shared" si="2"/>
        <v>0</v>
      </c>
      <c r="AA110" s="1166"/>
      <c r="AD110" s="99"/>
      <c r="AE110" s="672"/>
      <c r="AF110" s="1172"/>
      <c r="AG110" s="1172"/>
      <c r="AH110" s="99"/>
    </row>
    <row r="111" spans="20:34" x14ac:dyDescent="0.2">
      <c r="T111" s="103"/>
      <c r="U111" s="140" t="s">
        <v>726</v>
      </c>
      <c r="V111" s="1172">
        <f>schFAAGrowCropBeg</f>
        <v>0</v>
      </c>
      <c r="W111" s="1172"/>
      <c r="X111" s="1172"/>
      <c r="Y111" s="1172">
        <f>schFAAGrowCropEnd</f>
        <v>0</v>
      </c>
      <c r="Z111" s="1204">
        <f>V111-Y111</f>
        <v>0</v>
      </c>
      <c r="AA111" s="1166"/>
      <c r="AD111" s="99"/>
      <c r="AE111" s="672"/>
      <c r="AF111" s="1172"/>
      <c r="AG111" s="1172"/>
      <c r="AH111" s="99"/>
    </row>
    <row r="112" spans="20:34" x14ac:dyDescent="0.2">
      <c r="T112" s="103"/>
      <c r="U112" s="140" t="s">
        <v>727</v>
      </c>
      <c r="V112" s="1172">
        <f>schFAAAPBeg</f>
        <v>0</v>
      </c>
      <c r="W112" s="1172"/>
      <c r="X112" s="1172"/>
      <c r="Y112" s="1172">
        <f>schFAAAPEnd</f>
        <v>0</v>
      </c>
      <c r="Z112" s="1204">
        <f>V112-Y112</f>
        <v>0</v>
      </c>
      <c r="AA112" s="1166"/>
      <c r="AD112" s="99"/>
      <c r="AE112" s="672"/>
      <c r="AF112" s="1172"/>
      <c r="AG112" s="1172"/>
      <c r="AH112" s="99"/>
    </row>
    <row r="113" spans="20:34" ht="15" x14ac:dyDescent="0.25">
      <c r="T113" s="103"/>
      <c r="U113" s="140" t="s">
        <v>206</v>
      </c>
      <c r="V113" s="1172">
        <f>schFAAAccIntBeg</f>
        <v>0</v>
      </c>
      <c r="W113" s="1172"/>
      <c r="X113" s="1172"/>
      <c r="Y113" s="1172">
        <f>schFAAAccIntEnd</f>
        <v>0</v>
      </c>
      <c r="Z113" s="1204">
        <f>V113-Y113</f>
        <v>0</v>
      </c>
      <c r="AA113" s="1166"/>
      <c r="AD113" s="99"/>
      <c r="AE113" s="99"/>
      <c r="AF113" s="1173"/>
      <c r="AG113" s="1177"/>
      <c r="AH113" s="99"/>
    </row>
    <row r="114" spans="20:34" ht="15.75" x14ac:dyDescent="0.25">
      <c r="T114" s="103"/>
      <c r="U114" s="154"/>
      <c r="V114" s="99"/>
      <c r="W114" s="99"/>
      <c r="X114" s="1374" t="s">
        <v>785</v>
      </c>
      <c r="Y114" s="1374"/>
      <c r="Z114" s="1205">
        <f>SUM(Z104:Z113)</f>
        <v>0</v>
      </c>
      <c r="AA114" s="1166"/>
      <c r="AD114" s="99"/>
      <c r="AE114" s="99"/>
      <c r="AF114" s="1170"/>
      <c r="AG114" s="1176"/>
      <c r="AH114" s="99"/>
    </row>
    <row r="115" spans="20:34" ht="15" x14ac:dyDescent="0.2">
      <c r="T115" s="103"/>
      <c r="U115" s="154"/>
      <c r="V115" s="99"/>
      <c r="W115" s="99"/>
      <c r="X115" s="1373" t="s">
        <v>570</v>
      </c>
      <c r="Y115" s="1373"/>
      <c r="Z115" s="1202">
        <f>Z101+Z114</f>
        <v>0</v>
      </c>
      <c r="AA115" s="1166"/>
      <c r="AD115" s="99"/>
      <c r="AE115" s="99"/>
      <c r="AF115" s="99"/>
      <c r="AG115" s="99"/>
      <c r="AH115" s="99"/>
    </row>
    <row r="116" spans="20:34" ht="3" customHeight="1" x14ac:dyDescent="0.25">
      <c r="T116" s="103"/>
      <c r="U116" s="154"/>
      <c r="V116" s="99"/>
      <c r="W116" s="99"/>
      <c r="X116" s="99"/>
      <c r="Y116" s="99"/>
      <c r="Z116" s="129"/>
      <c r="AA116" s="1166"/>
      <c r="AD116" s="99"/>
      <c r="AE116" s="1178"/>
      <c r="AF116" s="1171"/>
      <c r="AG116" s="1179"/>
      <c r="AH116" s="99"/>
    </row>
    <row r="117" spans="20:34" ht="15" x14ac:dyDescent="0.25">
      <c r="T117" s="103"/>
      <c r="U117" s="1206" t="s">
        <v>395</v>
      </c>
      <c r="V117" s="1171" t="s">
        <v>787</v>
      </c>
      <c r="W117" s="1171" t="s">
        <v>793</v>
      </c>
      <c r="X117" s="1171" t="s">
        <v>794</v>
      </c>
      <c r="Y117" s="1171" t="s">
        <v>788</v>
      </c>
      <c r="Z117" s="1207"/>
      <c r="AA117" s="1166"/>
      <c r="AD117" s="99"/>
      <c r="AE117" s="1180"/>
      <c r="AF117" s="1068"/>
      <c r="AG117" s="1068"/>
      <c r="AH117" s="99"/>
    </row>
    <row r="118" spans="20:34" x14ac:dyDescent="0.2">
      <c r="T118" s="103"/>
      <c r="U118" s="1208" t="s">
        <v>792</v>
      </c>
      <c r="V118" s="1068">
        <f>schFAssetsPLvskBeg</f>
        <v>0</v>
      </c>
      <c r="W118" s="1068">
        <f>schFPurchlvsk</f>
        <v>0</v>
      </c>
      <c r="X118" s="1068">
        <f>schFSaleLvsk</f>
        <v>0</v>
      </c>
      <c r="Y118" s="1068">
        <f>schFAssetsPLvskEnd</f>
        <v>0</v>
      </c>
      <c r="Z118" s="1209">
        <f>V118+W118-X118-Y118</f>
        <v>0</v>
      </c>
      <c r="AA118" s="1166"/>
      <c r="AD118" s="99"/>
      <c r="AE118" s="1181"/>
      <c r="AF118" s="1068"/>
      <c r="AG118" s="1068"/>
      <c r="AH118" s="99"/>
    </row>
    <row r="119" spans="20:34" x14ac:dyDescent="0.2">
      <c r="T119" s="103"/>
      <c r="U119" s="1210" t="s">
        <v>555</v>
      </c>
      <c r="V119" s="1068">
        <f>schFAssetsMachBeg</f>
        <v>0</v>
      </c>
      <c r="W119" s="1068">
        <f>schFPurchMach</f>
        <v>0</v>
      </c>
      <c r="X119" s="1068">
        <f>schFSaleMach</f>
        <v>0</v>
      </c>
      <c r="Y119" s="1068">
        <f>schFAssetsMachEnd</f>
        <v>0</v>
      </c>
      <c r="Z119" s="1209">
        <f>V119+W119-X119-Y119</f>
        <v>0</v>
      </c>
      <c r="AA119" s="1166"/>
      <c r="AD119" s="99"/>
      <c r="AE119" s="1182"/>
      <c r="AF119" s="1068"/>
      <c r="AG119" s="1068"/>
      <c r="AH119" s="99"/>
    </row>
    <row r="120" spans="20:34" x14ac:dyDescent="0.2">
      <c r="T120" s="103"/>
      <c r="U120" s="1211" t="s">
        <v>556</v>
      </c>
      <c r="V120" s="1068">
        <f>schFAssetsVehBeg</f>
        <v>0</v>
      </c>
      <c r="W120" s="1068">
        <f>schFPurchVehicle</f>
        <v>0</v>
      </c>
      <c r="X120" s="1068">
        <f>schFSaleVehicle</f>
        <v>0</v>
      </c>
      <c r="Y120" s="1068">
        <f>schFAssetsVehEnd</f>
        <v>0</v>
      </c>
      <c r="Z120" s="1209">
        <f t="shared" ref="Z120:Z121" si="3">V120+W120-X120-Y120</f>
        <v>0</v>
      </c>
      <c r="AA120" s="1166"/>
      <c r="AD120" s="99"/>
      <c r="AE120" s="1182"/>
      <c r="AF120" s="1068"/>
      <c r="AG120" s="1068"/>
      <c r="AH120" s="99"/>
    </row>
    <row r="121" spans="20:34" ht="14.25" x14ac:dyDescent="0.2">
      <c r="T121" s="103"/>
      <c r="U121" s="1211" t="s">
        <v>557</v>
      </c>
      <c r="V121" s="1068">
        <f>schFAssetsBuildBeg</f>
        <v>0</v>
      </c>
      <c r="W121" s="1068">
        <f>schFPurchBldg</f>
        <v>0</v>
      </c>
      <c r="X121" s="1068">
        <f>schFSaleBldg</f>
        <v>0</v>
      </c>
      <c r="Y121" s="1068">
        <f>schFAssetsBuildEnd</f>
        <v>0</v>
      </c>
      <c r="Z121" s="1209">
        <f t="shared" si="3"/>
        <v>0</v>
      </c>
      <c r="AA121" s="1166"/>
      <c r="AD121" s="99"/>
      <c r="AE121" s="1183"/>
      <c r="AF121" s="1063"/>
      <c r="AG121" s="1063"/>
      <c r="AH121" s="99"/>
    </row>
    <row r="122" spans="20:34" ht="15" x14ac:dyDescent="0.25">
      <c r="T122" s="103"/>
      <c r="U122" s="1212" t="s">
        <v>683</v>
      </c>
      <c r="V122" s="1064"/>
      <c r="W122" s="1064"/>
      <c r="X122" s="1063"/>
      <c r="Y122" s="1063"/>
      <c r="Z122" s="1213"/>
      <c r="AA122" s="1166"/>
      <c r="AD122" s="99"/>
      <c r="AE122" s="1184"/>
      <c r="AF122" s="1066"/>
      <c r="AG122" s="1067"/>
      <c r="AH122" s="99"/>
    </row>
    <row r="123" spans="20:34" ht="12.75" customHeight="1" x14ac:dyDescent="0.25">
      <c r="T123" s="103"/>
      <c r="U123" s="1214" t="s">
        <v>784</v>
      </c>
      <c r="V123" s="1065"/>
      <c r="W123" s="1065"/>
      <c r="X123" s="1065"/>
      <c r="Y123" s="1066"/>
      <c r="Z123" s="1215">
        <f>+SUM(Z118:Z122)</f>
        <v>0</v>
      </c>
      <c r="AA123" s="1166"/>
      <c r="AD123" s="99"/>
      <c r="AE123" s="99"/>
      <c r="AF123" s="99"/>
      <c r="AG123" s="99"/>
      <c r="AH123" s="99"/>
    </row>
    <row r="124" spans="20:34" ht="2.1" customHeight="1" x14ac:dyDescent="0.2">
      <c r="T124" s="103"/>
      <c r="U124" s="154"/>
      <c r="V124" s="99"/>
      <c r="W124" s="99"/>
      <c r="X124" s="99"/>
      <c r="Y124" s="99"/>
      <c r="Z124" s="129"/>
      <c r="AA124" s="1166"/>
      <c r="AD124" s="99"/>
      <c r="AE124" s="1185"/>
      <c r="AF124" s="917"/>
      <c r="AG124" s="1176"/>
      <c r="AH124" s="99"/>
    </row>
    <row r="125" spans="20:34" ht="15.75" thickBot="1" x14ac:dyDescent="0.25">
      <c r="T125" s="103"/>
      <c r="U125" s="1216" t="s">
        <v>786</v>
      </c>
      <c r="V125" s="1217"/>
      <c r="W125" s="1217"/>
      <c r="X125" s="1217"/>
      <c r="Y125" s="1217"/>
      <c r="Z125" s="1218">
        <f>Z115-Z123</f>
        <v>0</v>
      </c>
      <c r="AA125" s="1166"/>
      <c r="AD125" s="99"/>
      <c r="AE125" s="99"/>
      <c r="AF125" s="99"/>
      <c r="AG125" s="99"/>
      <c r="AH125" s="99"/>
    </row>
    <row r="126" spans="20:34" x14ac:dyDescent="0.2">
      <c r="T126" s="1186"/>
      <c r="U126" s="1187"/>
      <c r="V126" s="1187"/>
      <c r="W126" s="1187"/>
      <c r="X126" s="1187"/>
      <c r="Y126" s="1187"/>
      <c r="Z126" s="1187"/>
      <c r="AA126" s="1188"/>
    </row>
  </sheetData>
  <sheetProtection algorithmName="SHA-512" hashValue="9rMBrcokQIb44fX2wa58VHOlbG2XfbaPd2tTqd34K5ElbqD4dU1uKWMxRIXg1i503dfV/1wLgmMqU7YVXwvlkw==" saltValue="CEiDNFCyAfrvF2ZRG9Q5iA==" spinCount="100000" sheet="1" objects="1" scenarios="1"/>
  <mergeCells count="44">
    <mergeCell ref="AK62:AM62"/>
    <mergeCell ref="AF67:AG67"/>
    <mergeCell ref="AE86:AF86"/>
    <mergeCell ref="AK64:AM64"/>
    <mergeCell ref="AL67:AM67"/>
    <mergeCell ref="X84:Y84"/>
    <mergeCell ref="X82:Y82"/>
    <mergeCell ref="F48:G48"/>
    <mergeCell ref="X100:Y100"/>
    <mergeCell ref="X101:Y101"/>
    <mergeCell ref="W91:Y91"/>
    <mergeCell ref="X73:Y73"/>
    <mergeCell ref="U67:V67"/>
    <mergeCell ref="Y67:Z67"/>
    <mergeCell ref="X81:Y81"/>
    <mergeCell ref="X74:Y74"/>
    <mergeCell ref="X87:Y87"/>
    <mergeCell ref="X86:Y86"/>
    <mergeCell ref="U63:Z63"/>
    <mergeCell ref="U62:Z62"/>
    <mergeCell ref="F50:G50"/>
    <mergeCell ref="X115:Y115"/>
    <mergeCell ref="X114:Y114"/>
    <mergeCell ref="X92:Y92"/>
    <mergeCell ref="X95:Y95"/>
    <mergeCell ref="X96:Y96"/>
    <mergeCell ref="B3:I4"/>
    <mergeCell ref="B2:I2"/>
    <mergeCell ref="F24:G24"/>
    <mergeCell ref="N6:P6"/>
    <mergeCell ref="F6:G6"/>
    <mergeCell ref="F15:G15"/>
    <mergeCell ref="F17:G17"/>
    <mergeCell ref="F30:G30"/>
    <mergeCell ref="F33:G33"/>
    <mergeCell ref="F36:G36"/>
    <mergeCell ref="F38:G38"/>
    <mergeCell ref="AE62:AG62"/>
    <mergeCell ref="X78:Y78"/>
    <mergeCell ref="V64:Z64"/>
    <mergeCell ref="AE64:AG64"/>
    <mergeCell ref="B52:H52"/>
    <mergeCell ref="B53:H53"/>
    <mergeCell ref="AE63:AG63"/>
  </mergeCells>
  <dataValidations count="1">
    <dataValidation allowBlank="1" showInputMessage="1" showErrorMessage="1" prompt="Sales to processors" sqref="U68 AE68 AK68" xr:uid="{00000000-0002-0000-0900-000000000000}"/>
  </dataValidations>
  <printOptions horizontalCentered="1"/>
  <pageMargins left="0.25" right="0.25" top="0.25" bottom="0.25" header="0.3" footer="0.3"/>
  <pageSetup scale="94" orientation="portrait" r:id="rId1"/>
  <headerFooter>
    <oddFooter>&amp;LAgPlan Schedule F Accrual Income Statement&amp;RAgPlan.com</oddFoot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J51"/>
  <sheetViews>
    <sheetView workbookViewId="0"/>
  </sheetViews>
  <sheetFormatPr defaultColWidth="9.140625" defaultRowHeight="12.75" x14ac:dyDescent="0.2"/>
  <cols>
    <col min="1" max="1" width="2.28515625" style="867" customWidth="1"/>
    <col min="2" max="2" width="23.28515625" style="867" customWidth="1"/>
    <col min="3" max="7" width="12.7109375" style="867" customWidth="1"/>
    <col min="8" max="8" width="22.28515625" style="867" bestFit="1" customWidth="1"/>
    <col min="9" max="9" width="5.140625" style="867" bestFit="1" customWidth="1"/>
    <col min="10" max="16384" width="9.140625" style="867"/>
  </cols>
  <sheetData>
    <row r="2" spans="2:10" ht="21" customHeight="1" x14ac:dyDescent="0.3">
      <c r="B2" s="1390" t="s">
        <v>519</v>
      </c>
      <c r="C2" s="1390"/>
      <c r="D2" s="1390"/>
      <c r="E2" s="1390"/>
      <c r="F2" s="1390"/>
      <c r="G2" s="1390"/>
      <c r="H2" s="1390"/>
      <c r="I2" s="866"/>
      <c r="J2" s="866"/>
    </row>
    <row r="3" spans="2:10" ht="15" x14ac:dyDescent="0.2">
      <c r="B3" s="1389" t="s">
        <v>674</v>
      </c>
      <c r="C3" s="1389"/>
      <c r="D3" s="1389"/>
      <c r="E3" s="1389"/>
      <c r="F3" s="1389"/>
      <c r="G3" s="1389"/>
      <c r="H3" s="1389"/>
      <c r="I3" s="866"/>
      <c r="J3" s="866"/>
    </row>
    <row r="4" spans="2:10" ht="15" x14ac:dyDescent="0.2">
      <c r="B4" s="1389"/>
      <c r="C4" s="1389"/>
      <c r="D4" s="1389"/>
      <c r="E4" s="1389"/>
      <c r="F4" s="1389"/>
      <c r="G4" s="1389"/>
      <c r="H4" s="1389"/>
      <c r="I4" s="866"/>
      <c r="J4" s="866"/>
    </row>
    <row r="5" spans="2:10" ht="15.75" x14ac:dyDescent="0.25">
      <c r="B5" s="868"/>
      <c r="C5" s="868"/>
      <c r="D5" s="868"/>
      <c r="E5" s="868"/>
      <c r="F5" s="868"/>
      <c r="G5" s="869" t="s">
        <v>51</v>
      </c>
      <c r="H5" s="869">
        <f>Year</f>
        <v>0</v>
      </c>
      <c r="I5" s="866"/>
      <c r="J5" s="866"/>
    </row>
    <row r="6" spans="2:10" ht="15.75" x14ac:dyDescent="0.25">
      <c r="B6" s="868"/>
      <c r="C6" s="868"/>
      <c r="D6" s="868"/>
      <c r="E6" s="868"/>
      <c r="F6" s="1388" t="s">
        <v>85</v>
      </c>
      <c r="G6" s="1388"/>
      <c r="H6" s="870">
        <f ca="1">GenDate</f>
        <v>44307</v>
      </c>
      <c r="J6" s="870"/>
    </row>
    <row r="7" spans="2:10" ht="15" x14ac:dyDescent="0.2">
      <c r="B7" s="866"/>
      <c r="C7" s="866"/>
      <c r="D7" s="866"/>
      <c r="E7" s="866"/>
      <c r="F7" s="866"/>
      <c r="G7" s="866"/>
      <c r="H7" s="866"/>
      <c r="I7" s="866"/>
      <c r="J7" s="866"/>
    </row>
    <row r="8" spans="2:10" ht="15" x14ac:dyDescent="0.2">
      <c r="B8" s="871" t="s">
        <v>520</v>
      </c>
      <c r="C8" s="871"/>
      <c r="D8" s="871"/>
      <c r="E8" s="871"/>
      <c r="F8" s="872"/>
      <c r="G8" s="872"/>
      <c r="H8" s="873">
        <f>schF9</f>
        <v>0</v>
      </c>
      <c r="I8" s="874"/>
      <c r="J8" s="866"/>
    </row>
    <row r="9" spans="2:10" ht="15.75" x14ac:dyDescent="0.25">
      <c r="B9" s="871" t="s">
        <v>521</v>
      </c>
      <c r="C9" s="871"/>
      <c r="D9" s="871"/>
      <c r="E9" s="871"/>
      <c r="F9" s="872"/>
      <c r="G9" s="875"/>
      <c r="H9" s="873">
        <f>schF1b</f>
        <v>0</v>
      </c>
      <c r="I9" s="876" t="s">
        <v>522</v>
      </c>
      <c r="J9" s="866"/>
    </row>
    <row r="10" spans="2:10" ht="15.75" x14ac:dyDescent="0.25">
      <c r="B10" s="871" t="s">
        <v>523</v>
      </c>
      <c r="C10" s="871"/>
      <c r="D10" s="871"/>
      <c r="E10" s="871"/>
      <c r="F10" s="872"/>
      <c r="G10" s="875"/>
      <c r="H10" s="873">
        <f>schF5a</f>
        <v>0</v>
      </c>
      <c r="I10" s="876" t="s">
        <v>524</v>
      </c>
      <c r="J10" s="866"/>
    </row>
    <row r="11" spans="2:10" ht="15.75" x14ac:dyDescent="0.25">
      <c r="B11" s="871" t="s">
        <v>525</v>
      </c>
      <c r="C11" s="871"/>
      <c r="D11" s="871"/>
      <c r="E11" s="871"/>
      <c r="F11" s="872"/>
      <c r="G11" s="875"/>
      <c r="H11" s="873">
        <f>schF6b</f>
        <v>0</v>
      </c>
      <c r="I11" s="876" t="s">
        <v>526</v>
      </c>
      <c r="J11" s="866"/>
    </row>
    <row r="12" spans="2:10" ht="15.75" x14ac:dyDescent="0.25">
      <c r="B12" s="871" t="s">
        <v>527</v>
      </c>
      <c r="C12" s="871"/>
      <c r="D12" s="871"/>
      <c r="E12" s="871"/>
      <c r="F12" s="872"/>
      <c r="G12" s="875"/>
      <c r="H12" s="873">
        <f>schF6a</f>
        <v>0</v>
      </c>
      <c r="I12" s="876" t="s">
        <v>522</v>
      </c>
      <c r="J12" s="866"/>
    </row>
    <row r="13" spans="2:10" ht="15.75" x14ac:dyDescent="0.25">
      <c r="B13" s="871" t="s">
        <v>528</v>
      </c>
      <c r="C13" s="871"/>
      <c r="D13" s="871"/>
      <c r="E13" s="871"/>
      <c r="F13" s="872"/>
      <c r="G13" s="875"/>
      <c r="H13" s="873">
        <f>schF6d</f>
        <v>0</v>
      </c>
      <c r="I13" s="876" t="s">
        <v>526</v>
      </c>
      <c r="J13" s="866"/>
    </row>
    <row r="14" spans="2:10" ht="15.75" x14ac:dyDescent="0.25">
      <c r="B14" s="877" t="s">
        <v>529</v>
      </c>
      <c r="C14" s="877"/>
      <c r="D14" s="877"/>
      <c r="E14" s="877"/>
      <c r="F14" s="878"/>
      <c r="G14" s="879"/>
      <c r="H14" s="880">
        <f>schFCulls</f>
        <v>0</v>
      </c>
      <c r="I14" s="881" t="s">
        <v>522</v>
      </c>
      <c r="J14" s="866"/>
    </row>
    <row r="15" spans="2:10" ht="15.75" x14ac:dyDescent="0.25">
      <c r="B15" s="882" t="s">
        <v>530</v>
      </c>
      <c r="C15" s="882"/>
      <c r="D15" s="882"/>
      <c r="E15" s="882"/>
      <c r="F15" s="1393" t="s">
        <v>531</v>
      </c>
      <c r="G15" s="1394"/>
      <c r="H15" s="883">
        <f>H8+H9-H10-H11+H12-H13+H14</f>
        <v>0</v>
      </c>
      <c r="I15" s="884"/>
      <c r="J15" s="866"/>
    </row>
    <row r="16" spans="2:10" ht="15" x14ac:dyDescent="0.2">
      <c r="B16" s="871"/>
      <c r="C16" s="871"/>
      <c r="D16" s="871"/>
      <c r="E16" s="871"/>
      <c r="F16" s="872"/>
      <c r="G16" s="872"/>
      <c r="H16" s="885"/>
      <c r="I16" s="874"/>
      <c r="J16" s="866"/>
    </row>
    <row r="17" spans="2:10" ht="15" x14ac:dyDescent="0.2">
      <c r="B17" s="871"/>
      <c r="C17" s="871"/>
      <c r="D17" s="871"/>
      <c r="E17" s="871"/>
      <c r="F17" s="1395" t="s">
        <v>532</v>
      </c>
      <c r="G17" s="1395"/>
      <c r="H17" s="885"/>
      <c r="I17" s="874"/>
      <c r="J17" s="866"/>
    </row>
    <row r="18" spans="2:10" ht="15.75" x14ac:dyDescent="0.25">
      <c r="B18" s="871" t="s">
        <v>533</v>
      </c>
      <c r="C18" s="871"/>
      <c r="D18" s="871"/>
      <c r="E18" s="871"/>
      <c r="F18" s="864">
        <f>InvCropsEntry</f>
        <v>0</v>
      </c>
      <c r="G18" s="886">
        <v>585751</v>
      </c>
      <c r="H18" s="887">
        <f>+F18-G18</f>
        <v>-585751</v>
      </c>
      <c r="I18" s="881" t="s">
        <v>522</v>
      </c>
      <c r="J18" s="866"/>
    </row>
    <row r="19" spans="2:10" ht="15.75" x14ac:dyDescent="0.25">
      <c r="B19" s="871" t="s">
        <v>534</v>
      </c>
      <c r="C19" s="871"/>
      <c r="D19" s="871"/>
      <c r="E19" s="871"/>
      <c r="F19" s="864">
        <f>InvLivestockEntry</f>
        <v>0</v>
      </c>
      <c r="G19" s="886"/>
      <c r="H19" s="887">
        <f>+F19-G19</f>
        <v>0</v>
      </c>
      <c r="I19" s="881" t="s">
        <v>522</v>
      </c>
      <c r="J19" s="866"/>
    </row>
    <row r="20" spans="2:10" ht="15.75" x14ac:dyDescent="0.25">
      <c r="B20" s="871" t="s">
        <v>535</v>
      </c>
      <c r="C20" s="871"/>
      <c r="D20" s="871" t="s">
        <v>568</v>
      </c>
      <c r="E20" s="866"/>
      <c r="F20" s="864">
        <f>CADueProcTot+CAOthRecTot</f>
        <v>0</v>
      </c>
      <c r="G20" s="886"/>
      <c r="H20" s="887">
        <f>+F20-G20</f>
        <v>0</v>
      </c>
      <c r="I20" s="881" t="s">
        <v>522</v>
      </c>
      <c r="J20" s="866"/>
    </row>
    <row r="21" spans="2:10" ht="15.75" x14ac:dyDescent="0.25">
      <c r="B21" s="871" t="s">
        <v>536</v>
      </c>
      <c r="C21" s="871"/>
      <c r="D21" s="886">
        <f>schFHedging</f>
        <v>0</v>
      </c>
      <c r="E21" s="866"/>
      <c r="F21" s="864">
        <v>32124</v>
      </c>
      <c r="G21" s="886">
        <v>23300</v>
      </c>
      <c r="H21" s="887">
        <f>+F21-G21+D21</f>
        <v>8824</v>
      </c>
      <c r="I21" s="881" t="s">
        <v>522</v>
      </c>
      <c r="J21" s="866" t="s">
        <v>569</v>
      </c>
    </row>
    <row r="22" spans="2:10" ht="15.75" x14ac:dyDescent="0.25">
      <c r="B22" s="877" t="s">
        <v>537</v>
      </c>
      <c r="C22" s="877"/>
      <c r="D22" s="877"/>
      <c r="E22" s="877"/>
      <c r="F22" s="864">
        <f>InvOtherEntry</f>
        <v>0</v>
      </c>
      <c r="G22" s="886"/>
      <c r="H22" s="887">
        <f>+F22-G22</f>
        <v>0</v>
      </c>
      <c r="I22" s="881" t="s">
        <v>522</v>
      </c>
      <c r="J22" s="866"/>
    </row>
    <row r="23" spans="2:10" ht="15.75" x14ac:dyDescent="0.25">
      <c r="B23" s="882" t="s">
        <v>538</v>
      </c>
      <c r="C23" s="882"/>
      <c r="D23" s="882"/>
      <c r="E23" s="882"/>
      <c r="F23" s="1396" t="s">
        <v>539</v>
      </c>
      <c r="G23" s="1397"/>
      <c r="H23" s="888">
        <f>+H8+H9-H11+H12-H13+H14+SUM(H18:H22)</f>
        <v>-576927</v>
      </c>
      <c r="I23" s="884"/>
      <c r="J23" s="866"/>
    </row>
    <row r="24" spans="2:10" ht="15" x14ac:dyDescent="0.2">
      <c r="B24" s="871"/>
      <c r="C24" s="871"/>
      <c r="D24" s="871"/>
      <c r="E24" s="871"/>
      <c r="F24" s="889"/>
      <c r="G24" s="889"/>
      <c r="H24" s="885"/>
      <c r="I24" s="874"/>
      <c r="J24" s="866"/>
    </row>
    <row r="25" spans="2:10" ht="15.75" x14ac:dyDescent="0.2">
      <c r="B25" s="871" t="s">
        <v>673</v>
      </c>
      <c r="C25" s="871"/>
      <c r="D25" s="871"/>
      <c r="E25" s="871"/>
      <c r="F25" s="889"/>
      <c r="G25" s="889"/>
      <c r="H25" s="873">
        <f>schF33</f>
        <v>0</v>
      </c>
      <c r="I25" s="874"/>
      <c r="J25" s="866"/>
    </row>
    <row r="26" spans="2:10" ht="15.75" x14ac:dyDescent="0.25">
      <c r="B26" s="871" t="s">
        <v>540</v>
      </c>
      <c r="C26" s="871"/>
      <c r="D26" s="871"/>
      <c r="E26" s="871"/>
      <c r="F26" s="889"/>
      <c r="G26" s="889"/>
      <c r="H26" s="873">
        <f>schFFeederPurch</f>
        <v>0</v>
      </c>
      <c r="I26" s="881" t="s">
        <v>522</v>
      </c>
      <c r="J26" s="866"/>
    </row>
    <row r="27" spans="2:10" ht="15.75" x14ac:dyDescent="0.25">
      <c r="B27" s="871" t="s">
        <v>541</v>
      </c>
      <c r="C27" s="871"/>
      <c r="D27" s="871"/>
      <c r="E27" s="871"/>
      <c r="F27" s="889"/>
      <c r="G27" s="889"/>
      <c r="H27" s="873">
        <f>schF14</f>
        <v>0</v>
      </c>
      <c r="I27" s="876" t="s">
        <v>526</v>
      </c>
      <c r="J27" s="866"/>
    </row>
    <row r="28" spans="2:10" ht="15.75" x14ac:dyDescent="0.25">
      <c r="B28" s="871" t="s">
        <v>542</v>
      </c>
      <c r="C28" s="871"/>
      <c r="D28" s="871"/>
      <c r="E28" s="871"/>
      <c r="F28" s="889"/>
      <c r="G28" s="889"/>
      <c r="H28" s="873"/>
      <c r="I28" s="876" t="s">
        <v>524</v>
      </c>
      <c r="J28" s="866"/>
    </row>
    <row r="29" spans="2:10" ht="15.75" x14ac:dyDescent="0.2">
      <c r="B29" s="890" t="s">
        <v>543</v>
      </c>
      <c r="C29" s="890"/>
      <c r="D29" s="890"/>
      <c r="E29" s="890"/>
      <c r="F29" s="1398" t="s">
        <v>544</v>
      </c>
      <c r="G29" s="1398"/>
      <c r="H29" s="891"/>
      <c r="I29" s="874"/>
      <c r="J29" s="866"/>
    </row>
    <row r="30" spans="2:10" ht="15.75" x14ac:dyDescent="0.25">
      <c r="B30" s="871" t="s">
        <v>545</v>
      </c>
      <c r="C30" s="871"/>
      <c r="D30" s="871"/>
      <c r="E30" s="871"/>
      <c r="F30" s="873">
        <v>120670</v>
      </c>
      <c r="G30" s="865">
        <f>CAPrepaidTot</f>
        <v>0</v>
      </c>
      <c r="H30" s="892">
        <f>+F30-G30</f>
        <v>120670</v>
      </c>
      <c r="I30" s="881" t="s">
        <v>522</v>
      </c>
      <c r="J30" s="866"/>
    </row>
    <row r="31" spans="2:10" ht="15.75" x14ac:dyDescent="0.25">
      <c r="B31" s="871" t="s">
        <v>546</v>
      </c>
      <c r="C31" s="871"/>
      <c r="D31" s="871"/>
      <c r="E31" s="871"/>
      <c r="F31" s="873"/>
      <c r="G31" s="863"/>
      <c r="H31" s="893">
        <f>+F31-G31</f>
        <v>0</v>
      </c>
      <c r="I31" s="881" t="s">
        <v>522</v>
      </c>
      <c r="J31" s="866"/>
    </row>
    <row r="32" spans="2:10" ht="15.75" x14ac:dyDescent="0.2">
      <c r="B32" s="890" t="s">
        <v>543</v>
      </c>
      <c r="C32" s="890"/>
      <c r="D32" s="890"/>
      <c r="E32" s="890"/>
      <c r="F32" s="1399" t="s">
        <v>547</v>
      </c>
      <c r="G32" s="1399"/>
      <c r="H32" s="885"/>
      <c r="I32" s="874"/>
      <c r="J32" s="866"/>
    </row>
    <row r="33" spans="2:10" ht="15.75" x14ac:dyDescent="0.25">
      <c r="B33" s="871" t="s">
        <v>548</v>
      </c>
      <c r="C33" s="871"/>
      <c r="D33" s="871"/>
      <c r="E33" s="871"/>
      <c r="F33" s="865">
        <f>CLAPTot</f>
        <v>0</v>
      </c>
      <c r="G33" s="873"/>
      <c r="H33" s="892">
        <f>+F33-G33</f>
        <v>0</v>
      </c>
      <c r="I33" s="881" t="s">
        <v>522</v>
      </c>
      <c r="J33" s="866"/>
    </row>
    <row r="34" spans="2:10" ht="15.75" x14ac:dyDescent="0.25">
      <c r="B34" s="871" t="s">
        <v>567</v>
      </c>
      <c r="C34" s="871"/>
      <c r="D34" s="871"/>
      <c r="E34" s="871"/>
      <c r="F34" s="864">
        <f>CLBizAcrIntTot</f>
        <v>0</v>
      </c>
      <c r="G34" s="886">
        <v>4888</v>
      </c>
      <c r="H34" s="892">
        <f>+F34-G34</f>
        <v>-4888</v>
      </c>
      <c r="I34" s="881" t="s">
        <v>522</v>
      </c>
      <c r="J34" s="866"/>
    </row>
    <row r="35" spans="2:10" ht="15.75" x14ac:dyDescent="0.25">
      <c r="B35" s="890" t="s">
        <v>549</v>
      </c>
      <c r="C35" s="890"/>
      <c r="D35" s="890"/>
      <c r="E35" s="890"/>
      <c r="F35" s="1396" t="s">
        <v>550</v>
      </c>
      <c r="G35" s="1397"/>
      <c r="H35" s="894">
        <f>+H25+H26-H27-H28+H30+H31+H33+H34</f>
        <v>115782</v>
      </c>
      <c r="I35" s="884"/>
      <c r="J35" s="866"/>
    </row>
    <row r="36" spans="2:10" ht="15" x14ac:dyDescent="0.2">
      <c r="B36" s="871"/>
      <c r="C36" s="871"/>
      <c r="D36" s="871"/>
      <c r="E36" s="871"/>
      <c r="F36" s="895"/>
      <c r="G36" s="895"/>
      <c r="H36" s="885"/>
      <c r="I36" s="874"/>
      <c r="J36" s="866"/>
    </row>
    <row r="37" spans="2:10" ht="15.75" x14ac:dyDescent="0.25">
      <c r="B37" s="890" t="s">
        <v>570</v>
      </c>
      <c r="C37" s="890"/>
      <c r="D37" s="890"/>
      <c r="E37" s="890"/>
      <c r="F37" s="1391"/>
      <c r="G37" s="1392"/>
      <c r="H37" s="894">
        <f>H23-H35</f>
        <v>-692709</v>
      </c>
      <c r="I37" s="896" t="s">
        <v>571</v>
      </c>
      <c r="J37" s="866"/>
    </row>
    <row r="38" spans="2:10" ht="15" x14ac:dyDescent="0.2">
      <c r="B38" s="871"/>
      <c r="C38" s="871"/>
      <c r="D38" s="871"/>
      <c r="E38" s="871"/>
      <c r="F38" s="889" t="s">
        <v>675</v>
      </c>
      <c r="G38" s="889"/>
      <c r="H38" s="885"/>
      <c r="I38" s="874"/>
      <c r="J38" s="866"/>
    </row>
    <row r="39" spans="2:10" ht="15.75" x14ac:dyDescent="0.25">
      <c r="B39" s="890" t="s">
        <v>395</v>
      </c>
      <c r="C39" s="897" t="s">
        <v>551</v>
      </c>
      <c r="D39" s="898" t="s">
        <v>552</v>
      </c>
      <c r="E39" s="898" t="s">
        <v>553</v>
      </c>
      <c r="F39" s="1400" t="s">
        <v>554</v>
      </c>
      <c r="G39" s="1400"/>
      <c r="H39" s="899"/>
      <c r="I39" s="874"/>
      <c r="J39" s="866"/>
    </row>
    <row r="40" spans="2:10" ht="15" x14ac:dyDescent="0.2">
      <c r="B40" s="871" t="s">
        <v>555</v>
      </c>
      <c r="C40" s="900">
        <v>652922</v>
      </c>
      <c r="D40" s="900">
        <f>schFPurchMach</f>
        <v>0</v>
      </c>
      <c r="E40" s="900">
        <f>schFSaleMach</f>
        <v>0</v>
      </c>
      <c r="F40" s="883">
        <f>C40+D40-E40</f>
        <v>652922</v>
      </c>
      <c r="G40" s="901">
        <v>10</v>
      </c>
      <c r="H40" s="883">
        <f>+F40*G40/100</f>
        <v>65292.2</v>
      </c>
      <c r="I40" s="874"/>
      <c r="J40" s="866"/>
    </row>
    <row r="41" spans="2:10" ht="15.75" x14ac:dyDescent="0.25">
      <c r="B41" s="871" t="s">
        <v>556</v>
      </c>
      <c r="C41" s="900">
        <v>32857</v>
      </c>
      <c r="D41" s="900">
        <f>schFPurchVehicle</f>
        <v>0</v>
      </c>
      <c r="E41" s="900">
        <f>schFSaleVehicle</f>
        <v>0</v>
      </c>
      <c r="F41" s="883">
        <f t="shared" ref="F41:F42" si="0">C41+D41-E41</f>
        <v>32857</v>
      </c>
      <c r="G41" s="901">
        <v>15</v>
      </c>
      <c r="H41" s="883">
        <f>+F41*G41/100</f>
        <v>4928.55</v>
      </c>
      <c r="I41" s="881" t="s">
        <v>522</v>
      </c>
      <c r="J41" s="866"/>
    </row>
    <row r="42" spans="2:10" ht="15.75" x14ac:dyDescent="0.25">
      <c r="B42" s="871" t="s">
        <v>557</v>
      </c>
      <c r="C42" s="900">
        <v>34663</v>
      </c>
      <c r="D42" s="900">
        <f>schFPurchBldg</f>
        <v>0</v>
      </c>
      <c r="E42" s="900">
        <f>schFSaleBldg</f>
        <v>0</v>
      </c>
      <c r="F42" s="883">
        <f t="shared" si="0"/>
        <v>34663</v>
      </c>
      <c r="G42" s="901">
        <v>5</v>
      </c>
      <c r="H42" s="883">
        <f>+F42*G42/100</f>
        <v>1733.15</v>
      </c>
      <c r="I42" s="881" t="s">
        <v>522</v>
      </c>
      <c r="J42" s="866"/>
    </row>
    <row r="43" spans="2:10" ht="15.75" x14ac:dyDescent="0.25">
      <c r="B43" s="871" t="s">
        <v>558</v>
      </c>
      <c r="C43" s="872"/>
      <c r="D43" s="872"/>
      <c r="E43" s="902"/>
      <c r="F43" s="902"/>
      <c r="G43" s="903"/>
      <c r="H43" s="873"/>
      <c r="I43" s="881" t="s">
        <v>522</v>
      </c>
      <c r="J43" s="866"/>
    </row>
    <row r="44" spans="2:10" ht="15.75" x14ac:dyDescent="0.25">
      <c r="B44" s="890" t="s">
        <v>559</v>
      </c>
      <c r="C44" s="890"/>
      <c r="D44" s="890"/>
      <c r="E44" s="890"/>
      <c r="F44" s="872"/>
      <c r="G44" s="904" t="s">
        <v>560</v>
      </c>
      <c r="H44" s="888">
        <f>+SUM(H40:H43)</f>
        <v>71953.899999999994</v>
      </c>
      <c r="I44" s="905"/>
      <c r="J44" s="866"/>
    </row>
    <row r="45" spans="2:10" ht="15" x14ac:dyDescent="0.2">
      <c r="B45" s="871"/>
      <c r="C45" s="871"/>
      <c r="D45" s="871"/>
      <c r="E45" s="871"/>
      <c r="F45" s="872"/>
      <c r="G45" s="872"/>
      <c r="H45" s="906"/>
      <c r="I45" s="874"/>
      <c r="J45" s="866"/>
    </row>
    <row r="46" spans="2:10" ht="15.75" x14ac:dyDescent="0.25">
      <c r="B46" s="890" t="s">
        <v>561</v>
      </c>
      <c r="C46" s="890"/>
      <c r="D46" s="890"/>
      <c r="E46" s="890"/>
      <c r="F46" s="1401" t="s">
        <v>562</v>
      </c>
      <c r="G46" s="1394"/>
      <c r="H46" s="888">
        <f>+H35+H44</f>
        <v>187735.9</v>
      </c>
      <c r="I46" s="884" t="s">
        <v>563</v>
      </c>
      <c r="J46" s="866"/>
    </row>
    <row r="47" spans="2:10" ht="15.75" x14ac:dyDescent="0.25">
      <c r="B47" s="890"/>
      <c r="C47" s="890"/>
      <c r="D47" s="890"/>
      <c r="E47" s="890"/>
      <c r="F47" s="904"/>
      <c r="G47" s="907"/>
      <c r="H47" s="908"/>
      <c r="I47" s="884"/>
      <c r="J47" s="866"/>
    </row>
    <row r="48" spans="2:10" ht="16.5" thickBot="1" x14ac:dyDescent="0.3">
      <c r="B48" s="890" t="s">
        <v>564</v>
      </c>
      <c r="C48" s="890"/>
      <c r="D48" s="890"/>
      <c r="E48" s="890"/>
      <c r="F48" s="1393" t="s">
        <v>565</v>
      </c>
      <c r="G48" s="1402"/>
      <c r="H48" s="909">
        <f>+H23-H46</f>
        <v>-764662.9</v>
      </c>
      <c r="I48" s="896" t="s">
        <v>566</v>
      </c>
      <c r="J48" s="866"/>
    </row>
    <row r="49" spans="2:9" ht="15.75" thickTop="1" x14ac:dyDescent="0.25">
      <c r="B49" s="910"/>
      <c r="C49" s="910"/>
      <c r="D49" s="910"/>
      <c r="E49" s="910"/>
      <c r="I49" s="910"/>
    </row>
    <row r="50" spans="2:9" x14ac:dyDescent="0.2">
      <c r="B50" s="1403"/>
      <c r="C50" s="1403"/>
      <c r="D50" s="1403"/>
      <c r="E50" s="1403"/>
      <c r="F50" s="1403"/>
      <c r="G50" s="1403"/>
      <c r="H50" s="1403"/>
    </row>
    <row r="51" spans="2:9" x14ac:dyDescent="0.2">
      <c r="B51" s="1403"/>
      <c r="C51" s="1403"/>
      <c r="D51" s="1403"/>
      <c r="E51" s="1403"/>
      <c r="F51" s="1403"/>
      <c r="G51" s="1403"/>
      <c r="H51" s="1403"/>
    </row>
  </sheetData>
  <sheetProtection algorithmName="SHA-512" hashValue="ydEtoMFDDVZzjqsRp3ywwnDhiuFH9+78EDg6Xzcwya0wNue5Xygn4q8JDYc0YB9S5uDWlkip6bH1Y5PrWzPHPA==" saltValue="WcHTh6+ZnJabbuEJrB+r5Q==" spinCount="100000" sheet="1" objects="1" scenarios="1"/>
  <mergeCells count="15">
    <mergeCell ref="F39:G39"/>
    <mergeCell ref="F46:G46"/>
    <mergeCell ref="F48:G48"/>
    <mergeCell ref="B50:H50"/>
    <mergeCell ref="B51:H51"/>
    <mergeCell ref="F6:G6"/>
    <mergeCell ref="B3:H4"/>
    <mergeCell ref="B2:H2"/>
    <mergeCell ref="F37:G37"/>
    <mergeCell ref="F15:G15"/>
    <mergeCell ref="F17:G17"/>
    <mergeCell ref="F23:G23"/>
    <mergeCell ref="F29:G29"/>
    <mergeCell ref="F32:G32"/>
    <mergeCell ref="F35:G35"/>
  </mergeCells>
  <pageMargins left="0.7" right="0.7" top="0.75" bottom="0.75" header="0.3" footer="0.3"/>
  <pageSetup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tabColor rgb="FF4A89DC"/>
  </sheetPr>
  <dimension ref="A1:AG253"/>
  <sheetViews>
    <sheetView showGridLines="0" topLeftCell="B1" zoomScale="120" zoomScaleNormal="120" zoomScaleSheetLayoutView="90" workbookViewId="0">
      <selection activeCell="B1" sqref="B1"/>
    </sheetView>
  </sheetViews>
  <sheetFormatPr defaultColWidth="10" defaultRowHeight="12.75" x14ac:dyDescent="0.2"/>
  <cols>
    <col min="1" max="1" width="38.85546875" style="3" hidden="1" customWidth="1"/>
    <col min="2" max="2" width="44.28515625" style="3" customWidth="1"/>
    <col min="3" max="3" width="2.28515625" style="3" customWidth="1"/>
    <col min="4" max="5" width="12.85546875" style="3" customWidth="1"/>
    <col min="6" max="7" width="11.28515625" style="206" customWidth="1"/>
    <col min="8" max="17" width="11.28515625" style="8" customWidth="1"/>
    <col min="18" max="18" width="12.85546875" style="3" customWidth="1"/>
    <col min="19" max="19" width="10" style="3"/>
    <col min="20" max="31" width="10" style="414"/>
    <col min="32" max="16384" width="10" style="3"/>
  </cols>
  <sheetData>
    <row r="1" spans="2:31" ht="5.0999999999999996" customHeight="1" x14ac:dyDescent="0.2"/>
    <row r="2" spans="2:31" ht="12.75" customHeight="1" x14ac:dyDescent="0.2">
      <c r="B2" s="1406" t="s">
        <v>798</v>
      </c>
      <c r="C2" s="1406"/>
      <c r="D2" s="1406"/>
      <c r="E2" s="1406"/>
      <c r="F2" s="1406"/>
      <c r="G2" s="1406"/>
    </row>
    <row r="3" spans="2:31" ht="12.75" customHeight="1" x14ac:dyDescent="0.2">
      <c r="B3" s="1406"/>
      <c r="C3" s="1406"/>
      <c r="D3" s="1406"/>
      <c r="E3" s="1406"/>
      <c r="F3" s="1406"/>
      <c r="G3" s="1406"/>
    </row>
    <row r="4" spans="2:31" ht="15" customHeight="1" x14ac:dyDescent="0.2">
      <c r="B4" s="1407" t="str">
        <f>IF(Name&gt;"",Name,IF(BusName&gt;"",BusName,""))</f>
        <v/>
      </c>
      <c r="C4" s="1407"/>
      <c r="D4" s="1407"/>
      <c r="E4" s="1407"/>
      <c r="F4" s="1407"/>
      <c r="G4" s="1407"/>
    </row>
    <row r="5" spans="2:31" ht="15" customHeight="1" thickBot="1" x14ac:dyDescent="0.25">
      <c r="B5" s="256" t="s">
        <v>127</v>
      </c>
      <c r="C5" s="256"/>
      <c r="D5" s="259">
        <f>Year</f>
        <v>0</v>
      </c>
      <c r="E5" s="1408">
        <f>Year+1</f>
        <v>1</v>
      </c>
      <c r="F5" s="1408"/>
      <c r="G5" s="1408"/>
      <c r="H5" s="255"/>
      <c r="I5" s="257"/>
      <c r="J5" s="255"/>
      <c r="K5" s="255"/>
      <c r="L5" s="255"/>
      <c r="M5" s="255"/>
      <c r="N5" s="255"/>
      <c r="O5" s="255"/>
      <c r="P5" s="255"/>
      <c r="Q5" s="255"/>
    </row>
    <row r="6" spans="2:31" ht="15.75" customHeight="1" x14ac:dyDescent="0.2">
      <c r="B6" s="675"/>
      <c r="C6" s="676"/>
      <c r="D6" s="673"/>
      <c r="E6" s="252" t="s">
        <v>15</v>
      </c>
      <c r="F6" s="347" t="s">
        <v>4</v>
      </c>
      <c r="G6" s="358" t="s">
        <v>5</v>
      </c>
      <c r="H6" s="369" t="s">
        <v>6</v>
      </c>
      <c r="I6" s="369" t="s">
        <v>7</v>
      </c>
      <c r="J6" s="369" t="s">
        <v>3</v>
      </c>
      <c r="K6" s="369" t="s">
        <v>8</v>
      </c>
      <c r="L6" s="369" t="s">
        <v>9</v>
      </c>
      <c r="M6" s="369" t="s">
        <v>10</v>
      </c>
      <c r="N6" s="369" t="s">
        <v>11</v>
      </c>
      <c r="O6" s="369" t="s">
        <v>12</v>
      </c>
      <c r="P6" s="369" t="s">
        <v>13</v>
      </c>
      <c r="Q6" s="252" t="s">
        <v>14</v>
      </c>
    </row>
    <row r="7" spans="2:31" ht="3.6" customHeight="1" thickBot="1" x14ac:dyDescent="0.25">
      <c r="B7" s="225"/>
      <c r="D7" s="674"/>
      <c r="E7" s="488"/>
      <c r="F7" s="348"/>
      <c r="G7" s="359"/>
      <c r="H7" s="370"/>
      <c r="I7" s="370"/>
      <c r="J7" s="370"/>
      <c r="K7" s="370"/>
      <c r="L7" s="370"/>
      <c r="M7" s="370"/>
      <c r="N7" s="370"/>
      <c r="O7" s="370"/>
      <c r="P7" s="370"/>
      <c r="Q7" s="224"/>
    </row>
    <row r="8" spans="2:31" s="44" customFormat="1" ht="15" x14ac:dyDescent="0.2">
      <c r="B8" s="226" t="s">
        <v>437</v>
      </c>
      <c r="C8" s="258"/>
      <c r="D8" s="1032">
        <f>schFAssetsCashBeg</f>
        <v>0</v>
      </c>
      <c r="E8" s="508" t="s">
        <v>170</v>
      </c>
      <c r="F8" s="588">
        <f>'Final Balance Sheet'!C8</f>
        <v>0</v>
      </c>
      <c r="G8" s="589">
        <f>EndingCashJan</f>
        <v>5000</v>
      </c>
      <c r="H8" s="589">
        <f>EndingCashFeb</f>
        <v>5000</v>
      </c>
      <c r="I8" s="589">
        <f>EndingCashMarch</f>
        <v>5000</v>
      </c>
      <c r="J8" s="589">
        <f>EndingCashApril</f>
        <v>5000</v>
      </c>
      <c r="K8" s="589">
        <f>EndingCashMay</f>
        <v>5000</v>
      </c>
      <c r="L8" s="589">
        <f>EndingCashJune</f>
        <v>5000</v>
      </c>
      <c r="M8" s="589">
        <f>EndingCashJuly</f>
        <v>5000</v>
      </c>
      <c r="N8" s="589">
        <f>EndingCashAug</f>
        <v>5000</v>
      </c>
      <c r="O8" s="589">
        <f>EndingCashSept</f>
        <v>5000</v>
      </c>
      <c r="P8" s="589">
        <f>EndingCashOct</f>
        <v>5000</v>
      </c>
      <c r="Q8" s="590">
        <f>EndingCashNov</f>
        <v>5000</v>
      </c>
      <c r="T8" s="1252"/>
      <c r="U8" s="1252"/>
      <c r="V8" s="1252"/>
      <c r="W8" s="1252"/>
      <c r="X8" s="1252"/>
      <c r="Y8" s="1252"/>
      <c r="Z8" s="1252"/>
      <c r="AA8" s="1252"/>
      <c r="AB8" s="1252"/>
      <c r="AC8" s="1252"/>
      <c r="AD8" s="1252"/>
      <c r="AE8" s="1252"/>
    </row>
    <row r="9" spans="2:31" ht="13.5" thickBot="1" x14ac:dyDescent="0.25">
      <c r="B9" s="227" t="s">
        <v>230</v>
      </c>
      <c r="C9" s="5"/>
      <c r="D9" s="1130"/>
      <c r="E9" s="509"/>
      <c r="F9" s="349"/>
      <c r="G9" s="360"/>
      <c r="H9" s="371"/>
      <c r="I9" s="371"/>
      <c r="J9" s="371"/>
      <c r="K9" s="371"/>
      <c r="L9" s="371"/>
      <c r="M9" s="371"/>
      <c r="N9" s="371"/>
      <c r="O9" s="371"/>
      <c r="P9" s="371"/>
      <c r="Q9" s="228"/>
    </row>
    <row r="10" spans="2:31" x14ac:dyDescent="0.2">
      <c r="B10" s="229" t="s">
        <v>718</v>
      </c>
      <c r="C10" s="55"/>
      <c r="D10" s="500">
        <f>SUMIF('Schedule F Entry'!$C$8:$C$11,'Cash Flows'!B10,'Schedule F Entry'!$E$8:$E$11)+SUMIF('Schedule F Entry'!$C$15:$C$18,'Cash Flows'!B10,'Schedule F Entry'!$E$15:$E$18)</f>
        <v>0</v>
      </c>
      <c r="E10" s="500">
        <f t="shared" ref="E10:E19" si="0">SUM(F10:Q10)</f>
        <v>0</v>
      </c>
      <c r="F10" s="361"/>
      <c r="G10" s="361"/>
      <c r="H10" s="361"/>
      <c r="I10" s="361"/>
      <c r="J10" s="361"/>
      <c r="K10" s="361"/>
      <c r="L10" s="361"/>
      <c r="M10" s="361"/>
      <c r="N10" s="361"/>
      <c r="O10" s="361"/>
      <c r="P10" s="361"/>
      <c r="Q10" s="330"/>
    </row>
    <row r="11" spans="2:31" x14ac:dyDescent="0.2">
      <c r="B11" s="229" t="s">
        <v>282</v>
      </c>
      <c r="C11" s="55"/>
      <c r="D11" s="500">
        <f>SUMIF('Schedule F Entry'!$C$8:$C$11,'Cash Flows'!B11,'Schedule F Entry'!$E$8:$E$11)+SUMIF('Schedule F Entry'!$C$15:$C$18,'Cash Flows'!B11,'Schedule F Entry'!$E$15:$E$18)</f>
        <v>0</v>
      </c>
      <c r="E11" s="501">
        <f t="shared" si="0"/>
        <v>0</v>
      </c>
      <c r="F11" s="362"/>
      <c r="G11" s="362"/>
      <c r="H11" s="362"/>
      <c r="I11" s="362"/>
      <c r="J11" s="362"/>
      <c r="K11" s="362"/>
      <c r="L11" s="362"/>
      <c r="M11" s="362"/>
      <c r="N11" s="362"/>
      <c r="O11" s="362"/>
      <c r="P11" s="362"/>
      <c r="Q11" s="331"/>
    </row>
    <row r="12" spans="2:31" x14ac:dyDescent="0.2">
      <c r="B12" s="229" t="s">
        <v>323</v>
      </c>
      <c r="C12" s="55"/>
      <c r="D12" s="500">
        <f>SUMIF('Schedule F Entry'!$C$8:$C$11,'Cash Flows'!B12,'Schedule F Entry'!$E$8:$E$11)+SUMIF('Schedule F Entry'!$C$15:$C$18,'Cash Flows'!B12,'Schedule F Entry'!$E$15:$E$18)</f>
        <v>0</v>
      </c>
      <c r="E12" s="501">
        <f>SUM(F12:Q12)</f>
        <v>0</v>
      </c>
      <c r="F12" s="362"/>
      <c r="G12" s="362"/>
      <c r="H12" s="362"/>
      <c r="I12" s="362"/>
      <c r="J12" s="362"/>
      <c r="K12" s="362"/>
      <c r="L12" s="362"/>
      <c r="M12" s="362"/>
      <c r="N12" s="362"/>
      <c r="O12" s="362"/>
      <c r="P12" s="362"/>
      <c r="Q12" s="331"/>
    </row>
    <row r="13" spans="2:31" x14ac:dyDescent="0.2">
      <c r="B13" s="229" t="s">
        <v>283</v>
      </c>
      <c r="C13" s="55"/>
      <c r="D13" s="500">
        <f>SUMIF('Schedule F Entry'!$C$8:$C$11,'Cash Flows'!B13,'Schedule F Entry'!$E$8:$E$11)+SUMIF('Schedule F Entry'!$C$15:$C$18,'Cash Flows'!B13,'Schedule F Entry'!$E$15:$E$18)</f>
        <v>0</v>
      </c>
      <c r="E13" s="501">
        <f>SUM(F13:Q13)</f>
        <v>0</v>
      </c>
      <c r="F13" s="362"/>
      <c r="G13" s="362"/>
      <c r="H13" s="362"/>
      <c r="I13" s="362"/>
      <c r="J13" s="362"/>
      <c r="K13" s="362"/>
      <c r="L13" s="362"/>
      <c r="M13" s="362"/>
      <c r="N13" s="362"/>
      <c r="O13" s="362"/>
      <c r="P13" s="362"/>
      <c r="Q13" s="331"/>
    </row>
    <row r="14" spans="2:31" x14ac:dyDescent="0.2">
      <c r="B14" s="229" t="s">
        <v>441</v>
      </c>
      <c r="C14" s="55"/>
      <c r="D14" s="500">
        <f>schFCulls</f>
        <v>0</v>
      </c>
      <c r="E14" s="501">
        <f t="shared" si="0"/>
        <v>0</v>
      </c>
      <c r="F14" s="362"/>
      <c r="G14" s="362"/>
      <c r="H14" s="362"/>
      <c r="I14" s="362"/>
      <c r="J14" s="362"/>
      <c r="K14" s="362"/>
      <c r="L14" s="362"/>
      <c r="M14" s="362"/>
      <c r="N14" s="362"/>
      <c r="O14" s="362"/>
      <c r="P14" s="362"/>
      <c r="Q14" s="331"/>
    </row>
    <row r="15" spans="2:31" x14ac:dyDescent="0.2">
      <c r="B15" s="229" t="s">
        <v>284</v>
      </c>
      <c r="C15" s="55"/>
      <c r="D15" s="500">
        <f>schF4a</f>
        <v>0</v>
      </c>
      <c r="E15" s="501">
        <f t="shared" si="0"/>
        <v>0</v>
      </c>
      <c r="F15" s="362"/>
      <c r="G15" s="362"/>
      <c r="H15" s="362"/>
      <c r="I15" s="362"/>
      <c r="J15" s="362"/>
      <c r="K15" s="362"/>
      <c r="L15" s="362"/>
      <c r="M15" s="362"/>
      <c r="N15" s="362"/>
      <c r="O15" s="362"/>
      <c r="P15" s="362"/>
      <c r="Q15" s="331"/>
    </row>
    <row r="16" spans="2:31" x14ac:dyDescent="0.2">
      <c r="B16" s="229" t="s">
        <v>483</v>
      </c>
      <c r="C16" s="55"/>
      <c r="D16" s="500">
        <f>schFCropIns6a</f>
        <v>0</v>
      </c>
      <c r="E16" s="501">
        <f t="shared" si="0"/>
        <v>0</v>
      </c>
      <c r="F16" s="362"/>
      <c r="G16" s="362"/>
      <c r="H16" s="362"/>
      <c r="I16" s="362"/>
      <c r="J16" s="362"/>
      <c r="K16" s="362"/>
      <c r="L16" s="362"/>
      <c r="M16" s="362"/>
      <c r="N16" s="362"/>
      <c r="O16" s="362"/>
      <c r="P16" s="362"/>
      <c r="Q16" s="331"/>
    </row>
    <row r="17" spans="2:31" x14ac:dyDescent="0.2">
      <c r="B17" s="229" t="s">
        <v>286</v>
      </c>
      <c r="C17" s="55"/>
      <c r="D17" s="500">
        <f>schF3a</f>
        <v>0</v>
      </c>
      <c r="E17" s="501">
        <f t="shared" si="0"/>
        <v>0</v>
      </c>
      <c r="F17" s="362"/>
      <c r="G17" s="362"/>
      <c r="H17" s="362"/>
      <c r="I17" s="362"/>
      <c r="J17" s="362"/>
      <c r="K17" s="362"/>
      <c r="L17" s="362"/>
      <c r="M17" s="362"/>
      <c r="N17" s="362"/>
      <c r="O17" s="362"/>
      <c r="P17" s="362"/>
      <c r="Q17" s="331"/>
    </row>
    <row r="18" spans="2:31" x14ac:dyDescent="0.2">
      <c r="B18" s="241" t="s">
        <v>280</v>
      </c>
      <c r="C18" s="157"/>
      <c r="D18" s="500">
        <f>schF7</f>
        <v>0</v>
      </c>
      <c r="E18" s="501">
        <f>SUM(F18:Q18)</f>
        <v>0</v>
      </c>
      <c r="F18" s="362"/>
      <c r="G18" s="362"/>
      <c r="H18" s="362"/>
      <c r="I18" s="362"/>
      <c r="J18" s="362"/>
      <c r="K18" s="362"/>
      <c r="L18" s="362"/>
      <c r="M18" s="362"/>
      <c r="N18" s="362"/>
      <c r="O18" s="362"/>
      <c r="P18" s="362"/>
      <c r="Q18" s="331"/>
    </row>
    <row r="19" spans="2:31" x14ac:dyDescent="0.2">
      <c r="B19" s="230" t="s">
        <v>0</v>
      </c>
      <c r="C19" s="144"/>
      <c r="D19" s="500">
        <f>schF8</f>
        <v>0</v>
      </c>
      <c r="E19" s="501">
        <f t="shared" si="0"/>
        <v>0</v>
      </c>
      <c r="F19" s="351"/>
      <c r="G19" s="362"/>
      <c r="H19" s="362"/>
      <c r="I19" s="362"/>
      <c r="J19" s="362"/>
      <c r="K19" s="362"/>
      <c r="L19" s="362"/>
      <c r="M19" s="362"/>
      <c r="N19" s="362"/>
      <c r="O19" s="362"/>
      <c r="P19" s="362"/>
      <c r="Q19" s="331"/>
    </row>
    <row r="20" spans="2:31" x14ac:dyDescent="0.2">
      <c r="B20" s="976" t="s">
        <v>735</v>
      </c>
      <c r="C20" s="144"/>
      <c r="D20" s="1046">
        <f>schFHedging</f>
        <v>0</v>
      </c>
      <c r="E20" s="501"/>
      <c r="F20" s="351"/>
      <c r="G20" s="362"/>
      <c r="H20" s="362"/>
      <c r="I20" s="362"/>
      <c r="J20" s="362"/>
      <c r="K20" s="362"/>
      <c r="L20" s="362"/>
      <c r="M20" s="362"/>
      <c r="N20" s="362"/>
      <c r="O20" s="362"/>
      <c r="P20" s="362"/>
      <c r="Q20" s="331"/>
    </row>
    <row r="21" spans="2:31" x14ac:dyDescent="0.2">
      <c r="B21" s="231" t="s">
        <v>231</v>
      </c>
      <c r="C21" s="159"/>
      <c r="D21" s="1031">
        <f>SUM(D10:D19)+D20</f>
        <v>0</v>
      </c>
      <c r="E21" s="510">
        <f t="shared" ref="E21:Q21" si="1">SUM(E10:E16)+SUM(E17:E19)</f>
        <v>0</v>
      </c>
      <c r="F21" s="352">
        <f t="shared" si="1"/>
        <v>0</v>
      </c>
      <c r="G21" s="363">
        <f t="shared" si="1"/>
        <v>0</v>
      </c>
      <c r="H21" s="363">
        <f t="shared" si="1"/>
        <v>0</v>
      </c>
      <c r="I21" s="363">
        <f t="shared" si="1"/>
        <v>0</v>
      </c>
      <c r="J21" s="363">
        <f t="shared" si="1"/>
        <v>0</v>
      </c>
      <c r="K21" s="363">
        <f t="shared" si="1"/>
        <v>0</v>
      </c>
      <c r="L21" s="363">
        <f t="shared" si="1"/>
        <v>0</v>
      </c>
      <c r="M21" s="363">
        <f t="shared" si="1"/>
        <v>0</v>
      </c>
      <c r="N21" s="363">
        <f t="shared" si="1"/>
        <v>0</v>
      </c>
      <c r="O21" s="363">
        <f t="shared" si="1"/>
        <v>0</v>
      </c>
      <c r="P21" s="363">
        <f t="shared" si="1"/>
        <v>0</v>
      </c>
      <c r="Q21" s="332">
        <f t="shared" si="1"/>
        <v>0</v>
      </c>
    </row>
    <row r="22" spans="2:31" ht="2.25" customHeight="1" x14ac:dyDescent="0.2">
      <c r="B22" s="225"/>
      <c r="D22" s="1131"/>
      <c r="E22" s="499"/>
      <c r="F22" s="353"/>
      <c r="G22" s="364"/>
      <c r="H22" s="372"/>
      <c r="I22" s="372"/>
      <c r="J22" s="372"/>
      <c r="K22" s="372"/>
      <c r="L22" s="372"/>
      <c r="M22" s="372"/>
      <c r="N22" s="372"/>
      <c r="O22" s="372"/>
      <c r="P22" s="372"/>
      <c r="Q22" s="335"/>
    </row>
    <row r="23" spans="2:31" x14ac:dyDescent="0.2">
      <c r="B23" s="227" t="s">
        <v>685</v>
      </c>
      <c r="C23" s="5"/>
      <c r="D23" s="1132"/>
      <c r="E23" s="499"/>
      <c r="F23" s="353"/>
      <c r="G23" s="364"/>
      <c r="H23" s="372"/>
      <c r="I23" s="372"/>
      <c r="J23" s="372"/>
      <c r="K23" s="372"/>
      <c r="L23" s="372"/>
      <c r="M23" s="372"/>
      <c r="N23" s="372"/>
      <c r="O23" s="372"/>
      <c r="P23" s="372"/>
      <c r="Q23" s="335"/>
    </row>
    <row r="24" spans="2:31" x14ac:dyDescent="0.2">
      <c r="B24" s="236" t="s">
        <v>292</v>
      </c>
      <c r="C24" s="46"/>
      <c r="D24" s="501">
        <f>schF26</f>
        <v>0</v>
      </c>
      <c r="E24" s="501">
        <f>SUM(F24:Q24)</f>
        <v>0</v>
      </c>
      <c r="F24" s="351"/>
      <c r="G24" s="362"/>
      <c r="H24" s="362"/>
      <c r="I24" s="362"/>
      <c r="J24" s="362"/>
      <c r="K24" s="362"/>
      <c r="L24" s="362"/>
      <c r="M24" s="362"/>
      <c r="N24" s="362"/>
      <c r="O24" s="362"/>
      <c r="P24" s="362"/>
      <c r="Q24" s="331"/>
    </row>
    <row r="25" spans="2:31" x14ac:dyDescent="0.2">
      <c r="B25" s="229" t="s">
        <v>304</v>
      </c>
      <c r="D25" s="501">
        <f>schF17</f>
        <v>0</v>
      </c>
      <c r="E25" s="501">
        <f>SUM(F25:Q25)</f>
        <v>0</v>
      </c>
      <c r="F25" s="351"/>
      <c r="G25" s="362"/>
      <c r="H25" s="362"/>
      <c r="I25" s="362"/>
      <c r="J25" s="362"/>
      <c r="K25" s="362"/>
      <c r="L25" s="362"/>
      <c r="M25" s="362"/>
      <c r="N25" s="362"/>
      <c r="O25" s="362"/>
      <c r="P25" s="362"/>
      <c r="Q25" s="330"/>
    </row>
    <row r="26" spans="2:31" x14ac:dyDescent="0.2">
      <c r="B26" s="229" t="s">
        <v>305</v>
      </c>
      <c r="D26" s="501">
        <f>schF11</f>
        <v>0</v>
      </c>
      <c r="E26" s="501">
        <f>SUM(F26:Q26)</f>
        <v>0</v>
      </c>
      <c r="F26" s="351"/>
      <c r="G26" s="362"/>
      <c r="H26" s="362"/>
      <c r="I26" s="362"/>
      <c r="J26" s="362"/>
      <c r="K26" s="362"/>
      <c r="L26" s="362"/>
      <c r="M26" s="362"/>
      <c r="N26" s="362"/>
      <c r="O26" s="362"/>
      <c r="P26" s="362"/>
      <c r="Q26" s="330"/>
    </row>
    <row r="27" spans="2:31" x14ac:dyDescent="0.2">
      <c r="B27" s="229" t="s">
        <v>285</v>
      </c>
      <c r="D27" s="501">
        <f>schF20</f>
        <v>0</v>
      </c>
      <c r="E27" s="501">
        <f>SUM(F27:Q27)</f>
        <v>0</v>
      </c>
      <c r="F27" s="351"/>
      <c r="G27" s="362"/>
      <c r="H27" s="362"/>
      <c r="I27" s="362"/>
      <c r="J27" s="362"/>
      <c r="K27" s="362"/>
      <c r="L27" s="362"/>
      <c r="M27" s="362"/>
      <c r="N27" s="362"/>
      <c r="O27" s="362"/>
      <c r="P27" s="362"/>
      <c r="Q27" s="330"/>
    </row>
    <row r="28" spans="2:31" x14ac:dyDescent="0.2">
      <c r="B28" s="233" t="s">
        <v>306</v>
      </c>
      <c r="C28" s="47"/>
      <c r="D28" s="501">
        <f>_xlfn.IFNA(INDEX('Schedule F Entry'!$E$58:$E$63,MATCH($B28,'Schedule F Entry'!$C$58:$C$63,0)),0)</f>
        <v>0</v>
      </c>
      <c r="E28" s="501">
        <f>SUM(F28:Q28)</f>
        <v>0</v>
      </c>
      <c r="F28" s="351"/>
      <c r="G28" s="362"/>
      <c r="H28" s="362"/>
      <c r="I28" s="362"/>
      <c r="J28" s="362"/>
      <c r="K28" s="362"/>
      <c r="L28" s="362"/>
      <c r="M28" s="362"/>
      <c r="N28" s="362"/>
      <c r="O28" s="362"/>
      <c r="P28" s="362"/>
      <c r="Q28" s="331"/>
    </row>
    <row r="29" spans="2:31" s="6" customFormat="1" x14ac:dyDescent="0.2">
      <c r="B29" s="233" t="s">
        <v>307</v>
      </c>
      <c r="C29" s="47"/>
      <c r="D29" s="501">
        <f>schF27</f>
        <v>0</v>
      </c>
      <c r="E29" s="501">
        <f t="shared" ref="E29:E51" si="2">SUM(F29:Q29)</f>
        <v>0</v>
      </c>
      <c r="F29" s="351"/>
      <c r="G29" s="362"/>
      <c r="H29" s="362"/>
      <c r="I29" s="362"/>
      <c r="J29" s="362"/>
      <c r="K29" s="362"/>
      <c r="L29" s="362"/>
      <c r="M29" s="362"/>
      <c r="N29" s="362"/>
      <c r="O29" s="362"/>
      <c r="P29" s="362"/>
      <c r="Q29" s="331"/>
      <c r="T29" s="416"/>
      <c r="U29" s="416"/>
      <c r="V29" s="416"/>
      <c r="W29" s="416"/>
      <c r="X29" s="416"/>
      <c r="Y29" s="416"/>
      <c r="Z29" s="416"/>
      <c r="AA29" s="416"/>
      <c r="AB29" s="416"/>
      <c r="AC29" s="416"/>
      <c r="AD29" s="416"/>
      <c r="AE29" s="416"/>
    </row>
    <row r="30" spans="2:31" x14ac:dyDescent="0.2">
      <c r="B30" s="229" t="s">
        <v>308</v>
      </c>
      <c r="D30" s="501">
        <f>_xlfn.IFNA(INDEX('Schedule F Entry'!$E$58:$E$63,MATCH($B30,'Schedule F Entry'!$C$58:$C$63,0)),0)</f>
        <v>0</v>
      </c>
      <c r="E30" s="501">
        <f t="shared" si="2"/>
        <v>0</v>
      </c>
      <c r="F30" s="351"/>
      <c r="G30" s="362"/>
      <c r="H30" s="362"/>
      <c r="I30" s="362"/>
      <c r="J30" s="362"/>
      <c r="K30" s="362"/>
      <c r="L30" s="362"/>
      <c r="M30" s="362"/>
      <c r="N30" s="362"/>
      <c r="O30" s="362"/>
      <c r="P30" s="362"/>
      <c r="Q30" s="330"/>
    </row>
    <row r="31" spans="2:31" s="6" customFormat="1" x14ac:dyDescent="0.2">
      <c r="B31" s="233" t="s">
        <v>309</v>
      </c>
      <c r="C31" s="47"/>
      <c r="D31" s="501">
        <f>schF28</f>
        <v>0</v>
      </c>
      <c r="E31" s="501">
        <f t="shared" si="2"/>
        <v>0</v>
      </c>
      <c r="F31" s="351"/>
      <c r="G31" s="362"/>
      <c r="H31" s="362"/>
      <c r="I31" s="362"/>
      <c r="J31" s="362"/>
      <c r="K31" s="362"/>
      <c r="L31" s="362"/>
      <c r="M31" s="362"/>
      <c r="N31" s="362"/>
      <c r="O31" s="362"/>
      <c r="P31" s="362"/>
      <c r="Q31" s="330"/>
      <c r="T31" s="416"/>
      <c r="U31" s="416"/>
      <c r="V31" s="416"/>
      <c r="W31" s="416"/>
      <c r="X31" s="416"/>
      <c r="Y31" s="416"/>
      <c r="Z31" s="416"/>
      <c r="AA31" s="416"/>
      <c r="AB31" s="416"/>
      <c r="AC31" s="416"/>
      <c r="AD31" s="416"/>
      <c r="AE31" s="416"/>
    </row>
    <row r="32" spans="2:31" s="6" customFormat="1" x14ac:dyDescent="0.2">
      <c r="B32" s="233" t="s">
        <v>310</v>
      </c>
      <c r="C32" s="47"/>
      <c r="D32" s="501">
        <f>_xlfn.IFNA(INDEX('Schedule F Entry'!$E$58:$E$63,MATCH($B32,'Schedule F Entry'!$C$58:$C$63,0)),0)</f>
        <v>0</v>
      </c>
      <c r="E32" s="501">
        <f t="shared" si="2"/>
        <v>0</v>
      </c>
      <c r="F32" s="351"/>
      <c r="G32" s="362"/>
      <c r="H32" s="362"/>
      <c r="I32" s="362"/>
      <c r="J32" s="362"/>
      <c r="K32" s="362"/>
      <c r="L32" s="362"/>
      <c r="M32" s="362"/>
      <c r="N32" s="362"/>
      <c r="O32" s="362"/>
      <c r="P32" s="362"/>
      <c r="Q32" s="330"/>
      <c r="T32" s="416"/>
      <c r="U32" s="416"/>
      <c r="V32" s="416"/>
      <c r="W32" s="416"/>
      <c r="X32" s="416"/>
      <c r="Y32" s="416"/>
      <c r="Z32" s="416"/>
      <c r="AA32" s="416"/>
      <c r="AB32" s="416"/>
      <c r="AC32" s="416"/>
      <c r="AD32" s="416"/>
      <c r="AE32" s="416"/>
    </row>
    <row r="33" spans="2:31" s="6" customFormat="1" x14ac:dyDescent="0.2">
      <c r="B33" s="233" t="s">
        <v>311</v>
      </c>
      <c r="C33" s="47"/>
      <c r="D33" s="501">
        <f>_xlfn.IFNA(INDEX('Schedule F Entry'!$E$58:$E$63,MATCH($B33,'Schedule F Entry'!$C$58:$C$63,0)),0)</f>
        <v>0</v>
      </c>
      <c r="E33" s="501">
        <f t="shared" si="2"/>
        <v>0</v>
      </c>
      <c r="F33" s="351"/>
      <c r="G33" s="362"/>
      <c r="H33" s="362"/>
      <c r="I33" s="362"/>
      <c r="J33" s="362"/>
      <c r="K33" s="362"/>
      <c r="L33" s="362"/>
      <c r="M33" s="362"/>
      <c r="N33" s="362"/>
      <c r="O33" s="362"/>
      <c r="P33" s="362"/>
      <c r="Q33" s="330"/>
      <c r="T33" s="416"/>
      <c r="U33" s="416"/>
      <c r="V33" s="416"/>
      <c r="W33" s="416"/>
      <c r="X33" s="416"/>
      <c r="Y33" s="416"/>
      <c r="Z33" s="416"/>
      <c r="AA33" s="416"/>
      <c r="AB33" s="416"/>
      <c r="AC33" s="416"/>
      <c r="AD33" s="416"/>
      <c r="AE33" s="416"/>
    </row>
    <row r="34" spans="2:31" x14ac:dyDescent="0.2">
      <c r="B34" s="229" t="s">
        <v>303</v>
      </c>
      <c r="D34" s="501">
        <f>_xlfn.IFNA(INDEX('Schedule F Entry'!$E$58:$E$63,MATCH($B34,'Schedule F Entry'!$C$58:$C$63,0)),0)</f>
        <v>0</v>
      </c>
      <c r="E34" s="501">
        <f t="shared" si="2"/>
        <v>0</v>
      </c>
      <c r="F34" s="351"/>
      <c r="G34" s="362"/>
      <c r="H34" s="362"/>
      <c r="I34" s="362"/>
      <c r="J34" s="362"/>
      <c r="K34" s="362"/>
      <c r="L34" s="362"/>
      <c r="M34" s="362"/>
      <c r="N34" s="362"/>
      <c r="O34" s="362"/>
      <c r="P34" s="362"/>
      <c r="Q34" s="330"/>
    </row>
    <row r="35" spans="2:31" x14ac:dyDescent="0.2">
      <c r="B35" s="229" t="s">
        <v>300</v>
      </c>
      <c r="D35" s="501">
        <f>schFFeederPurch</f>
        <v>0</v>
      </c>
      <c r="E35" s="501">
        <f t="shared" si="2"/>
        <v>0</v>
      </c>
      <c r="F35" s="351"/>
      <c r="G35" s="362"/>
      <c r="H35" s="362"/>
      <c r="I35" s="362"/>
      <c r="J35" s="362"/>
      <c r="K35" s="362"/>
      <c r="L35" s="362"/>
      <c r="M35" s="362"/>
      <c r="N35" s="362"/>
      <c r="O35" s="362"/>
      <c r="P35" s="362"/>
      <c r="Q35" s="330"/>
    </row>
    <row r="36" spans="2:31" x14ac:dyDescent="0.2">
      <c r="B36" s="229" t="s">
        <v>301</v>
      </c>
      <c r="D36" s="501">
        <f>schF16</f>
        <v>0</v>
      </c>
      <c r="E36" s="501">
        <f t="shared" si="2"/>
        <v>0</v>
      </c>
      <c r="F36" s="351"/>
      <c r="G36" s="362"/>
      <c r="H36" s="362"/>
      <c r="I36" s="362"/>
      <c r="J36" s="362"/>
      <c r="K36" s="362"/>
      <c r="L36" s="362"/>
      <c r="M36" s="362"/>
      <c r="N36" s="362"/>
      <c r="O36" s="362"/>
      <c r="P36" s="362"/>
      <c r="Q36" s="330"/>
    </row>
    <row r="37" spans="2:31" x14ac:dyDescent="0.2">
      <c r="B37" s="229" t="s">
        <v>302</v>
      </c>
      <c r="D37" s="501">
        <f>schF31</f>
        <v>0</v>
      </c>
      <c r="E37" s="501">
        <f t="shared" si="2"/>
        <v>0</v>
      </c>
      <c r="F37" s="351"/>
      <c r="G37" s="362"/>
      <c r="H37" s="362"/>
      <c r="I37" s="362"/>
      <c r="J37" s="362"/>
      <c r="K37" s="362"/>
      <c r="L37" s="362"/>
      <c r="M37" s="362"/>
      <c r="N37" s="362"/>
      <c r="O37" s="362"/>
      <c r="P37" s="362"/>
      <c r="Q37" s="330"/>
    </row>
    <row r="38" spans="2:31" x14ac:dyDescent="0.2">
      <c r="B38" s="232" t="s">
        <v>294</v>
      </c>
      <c r="C38" s="49"/>
      <c r="D38" s="501">
        <f>_xlfn.IFNA(INDEX('Schedule F Entry'!$E$58:$E$63,MATCH($B38,'Schedule F Entry'!$C$58:$C$63,0)),0)</f>
        <v>0</v>
      </c>
      <c r="E38" s="501">
        <f t="shared" si="2"/>
        <v>0</v>
      </c>
      <c r="F38" s="351"/>
      <c r="G38" s="362"/>
      <c r="H38" s="362"/>
      <c r="I38" s="362"/>
      <c r="J38" s="362"/>
      <c r="K38" s="362"/>
      <c r="L38" s="362"/>
      <c r="M38" s="362"/>
      <c r="N38" s="362"/>
      <c r="O38" s="362"/>
      <c r="P38" s="362"/>
      <c r="Q38" s="331"/>
    </row>
    <row r="39" spans="2:31" x14ac:dyDescent="0.2">
      <c r="B39" s="232" t="s">
        <v>299</v>
      </c>
      <c r="C39" s="49"/>
      <c r="D39" s="501">
        <f>_xlfn.IFNA(INDEX('Schedule F Entry'!$E$58:$E$63,MATCH($B39,'Schedule F Entry'!$C$58:$C$63,0)),0)</f>
        <v>0</v>
      </c>
      <c r="E39" s="501">
        <f t="shared" si="2"/>
        <v>0</v>
      </c>
      <c r="F39" s="351"/>
      <c r="G39" s="362"/>
      <c r="H39" s="362"/>
      <c r="I39" s="362"/>
      <c r="J39" s="362"/>
      <c r="K39" s="362"/>
      <c r="L39" s="362"/>
      <c r="M39" s="362"/>
      <c r="N39" s="362"/>
      <c r="O39" s="362"/>
      <c r="P39" s="362"/>
      <c r="Q39" s="331"/>
    </row>
    <row r="40" spans="2:31" x14ac:dyDescent="0.2">
      <c r="B40" s="232" t="s">
        <v>298</v>
      </c>
      <c r="C40" s="49"/>
      <c r="D40" s="501">
        <f>_xlfn.IFNA(INDEX('Schedule F Entry'!$E$58:$E$63,MATCH($B40,'Schedule F Entry'!$C$58:$C$63,0)),0)</f>
        <v>0</v>
      </c>
      <c r="E40" s="501">
        <f t="shared" si="2"/>
        <v>0</v>
      </c>
      <c r="F40" s="351"/>
      <c r="G40" s="362"/>
      <c r="H40" s="362"/>
      <c r="I40" s="362"/>
      <c r="J40" s="362"/>
      <c r="K40" s="362"/>
      <c r="L40" s="362"/>
      <c r="M40" s="362"/>
      <c r="N40" s="362"/>
      <c r="O40" s="362"/>
      <c r="P40" s="362"/>
      <c r="Q40" s="331"/>
    </row>
    <row r="41" spans="2:31" x14ac:dyDescent="0.2">
      <c r="B41" s="232" t="s">
        <v>297</v>
      </c>
      <c r="C41" s="49"/>
      <c r="D41" s="501">
        <f>_xlfn.IFNA(INDEX('Schedule F Entry'!$E$58:$E$63,MATCH($B41,'Schedule F Entry'!$C$58:$C$63,0)),0)</f>
        <v>0</v>
      </c>
      <c r="E41" s="501">
        <f t="shared" si="2"/>
        <v>0</v>
      </c>
      <c r="F41" s="351"/>
      <c r="G41" s="362"/>
      <c r="H41" s="362"/>
      <c r="I41" s="362"/>
      <c r="J41" s="362"/>
      <c r="K41" s="362"/>
      <c r="L41" s="362"/>
      <c r="M41" s="362"/>
      <c r="N41" s="362"/>
      <c r="O41" s="362"/>
      <c r="P41" s="362"/>
      <c r="Q41" s="331"/>
    </row>
    <row r="42" spans="2:31" x14ac:dyDescent="0.2">
      <c r="B42" s="232" t="s">
        <v>296</v>
      </c>
      <c r="C42" s="49"/>
      <c r="D42" s="501">
        <f>_xlfn.IFNA(INDEX('Schedule F Entry'!$E$58:$E$63,MATCH($B42,'Schedule F Entry'!$C$58:$C$63,0)),0)</f>
        <v>0</v>
      </c>
      <c r="E42" s="501">
        <f t="shared" si="2"/>
        <v>0</v>
      </c>
      <c r="F42" s="351"/>
      <c r="G42" s="362"/>
      <c r="H42" s="362"/>
      <c r="I42" s="362"/>
      <c r="J42" s="362"/>
      <c r="K42" s="362"/>
      <c r="L42" s="362"/>
      <c r="M42" s="362"/>
      <c r="N42" s="362"/>
      <c r="O42" s="362"/>
      <c r="P42" s="362"/>
      <c r="Q42" s="331"/>
    </row>
    <row r="43" spans="2:31" x14ac:dyDescent="0.2">
      <c r="B43" s="232" t="s">
        <v>295</v>
      </c>
      <c r="C43" s="49"/>
      <c r="D43" s="501">
        <f>_xlfn.IFNA(INDEX('Schedule F Entry'!$E$58:$E$63,MATCH($B43,'Schedule F Entry'!$C$58:$C$63,0)),0)</f>
        <v>0</v>
      </c>
      <c r="E43" s="501">
        <f t="shared" si="2"/>
        <v>0</v>
      </c>
      <c r="F43" s="351"/>
      <c r="G43" s="362"/>
      <c r="H43" s="362"/>
      <c r="I43" s="362"/>
      <c r="J43" s="362"/>
      <c r="K43" s="362"/>
      <c r="L43" s="362"/>
      <c r="M43" s="362"/>
      <c r="N43" s="362"/>
      <c r="O43" s="362"/>
      <c r="P43" s="362"/>
      <c r="Q43" s="331"/>
    </row>
    <row r="44" spans="2:31" x14ac:dyDescent="0.2">
      <c r="B44" s="232" t="s">
        <v>44</v>
      </c>
      <c r="C44" s="49"/>
      <c r="D44" s="501">
        <f>schF19</f>
        <v>0</v>
      </c>
      <c r="E44" s="501">
        <f>SUM(F44:Q44)</f>
        <v>0</v>
      </c>
      <c r="F44" s="351"/>
      <c r="G44" s="362"/>
      <c r="H44" s="362"/>
      <c r="I44" s="362"/>
      <c r="J44" s="362"/>
      <c r="K44" s="362"/>
      <c r="L44" s="362"/>
      <c r="M44" s="362"/>
      <c r="N44" s="362"/>
      <c r="O44" s="362"/>
      <c r="P44" s="362"/>
      <c r="Q44" s="331"/>
    </row>
    <row r="45" spans="2:31" x14ac:dyDescent="0.2">
      <c r="B45" s="233" t="s">
        <v>70</v>
      </c>
      <c r="C45" s="60"/>
      <c r="D45" s="501">
        <f>schF25</f>
        <v>0</v>
      </c>
      <c r="E45" s="501">
        <f t="shared" si="2"/>
        <v>0</v>
      </c>
      <c r="F45" s="351"/>
      <c r="G45" s="362"/>
      <c r="H45" s="362"/>
      <c r="I45" s="362"/>
      <c r="J45" s="362"/>
      <c r="K45" s="362"/>
      <c r="L45" s="362"/>
      <c r="M45" s="362"/>
      <c r="N45" s="362"/>
      <c r="O45" s="362"/>
      <c r="P45" s="362"/>
      <c r="Q45" s="331"/>
    </row>
    <row r="46" spans="2:31" x14ac:dyDescent="0.2">
      <c r="B46" s="232" t="s">
        <v>291</v>
      </c>
      <c r="C46" s="49"/>
      <c r="D46" s="500">
        <f>schF15+schF22+schF23</f>
        <v>0</v>
      </c>
      <c r="E46" s="500">
        <f>SUM(F46:Q46)</f>
        <v>0</v>
      </c>
      <c r="F46" s="350"/>
      <c r="G46" s="361"/>
      <c r="H46" s="361"/>
      <c r="I46" s="361"/>
      <c r="J46" s="361"/>
      <c r="K46" s="361"/>
      <c r="L46" s="361"/>
      <c r="M46" s="362"/>
      <c r="N46" s="361"/>
      <c r="O46" s="361"/>
      <c r="P46" s="362"/>
      <c r="Q46" s="330"/>
    </row>
    <row r="47" spans="2:31" x14ac:dyDescent="0.2">
      <c r="B47" s="233" t="s">
        <v>715</v>
      </c>
      <c r="C47" s="60"/>
      <c r="D47" s="501">
        <f>schF13+schF18</f>
        <v>0</v>
      </c>
      <c r="E47" s="501">
        <f t="shared" si="2"/>
        <v>0</v>
      </c>
      <c r="F47" s="351"/>
      <c r="G47" s="362"/>
      <c r="H47" s="362"/>
      <c r="I47" s="362"/>
      <c r="J47" s="362"/>
      <c r="K47" s="362"/>
      <c r="L47" s="362"/>
      <c r="M47" s="362"/>
      <c r="N47" s="362"/>
      <c r="O47" s="362"/>
      <c r="P47" s="362"/>
      <c r="Q47" s="330"/>
    </row>
    <row r="48" spans="2:31" x14ac:dyDescent="0.2">
      <c r="B48" s="229" t="s">
        <v>46</v>
      </c>
      <c r="D48" s="501">
        <f>schF30</f>
        <v>0</v>
      </c>
      <c r="E48" s="501">
        <f t="shared" si="2"/>
        <v>0</v>
      </c>
      <c r="F48" s="351"/>
      <c r="G48" s="362"/>
      <c r="H48" s="362"/>
      <c r="I48" s="362"/>
      <c r="J48" s="362"/>
      <c r="K48" s="362"/>
      <c r="L48" s="362"/>
      <c r="M48" s="362"/>
      <c r="N48" s="362"/>
      <c r="O48" s="362"/>
      <c r="P48" s="362"/>
      <c r="Q48" s="330"/>
    </row>
    <row r="49" spans="2:31" x14ac:dyDescent="0.2">
      <c r="B49" s="232" t="s">
        <v>45</v>
      </c>
      <c r="C49" s="49"/>
      <c r="D49" s="501">
        <f>_xlfn.IFNA(INDEX('Schedule F Entry'!$E$58:$E$63,MATCH($B49,'Schedule F Entry'!$C$58:$C$63,0)),0)</f>
        <v>0</v>
      </c>
      <c r="E49" s="501">
        <f t="shared" si="2"/>
        <v>0</v>
      </c>
      <c r="F49" s="351"/>
      <c r="G49" s="362"/>
      <c r="H49" s="362"/>
      <c r="I49" s="362"/>
      <c r="J49" s="362"/>
      <c r="K49" s="362"/>
      <c r="L49" s="362"/>
      <c r="M49" s="362"/>
      <c r="N49" s="362"/>
      <c r="O49" s="362"/>
      <c r="P49" s="362"/>
      <c r="Q49" s="331"/>
    </row>
    <row r="50" spans="2:31" x14ac:dyDescent="0.2">
      <c r="B50" s="558" t="s">
        <v>708</v>
      </c>
      <c r="C50" s="147"/>
      <c r="D50" s="501">
        <f>_xlfn.IFNA(INDEX('Schedule F Entry'!$E$58:$E$63,MATCH($B50,'Schedule F Entry'!$C$58:$C$63,0)),0)</f>
        <v>0</v>
      </c>
      <c r="E50" s="501">
        <f t="shared" si="2"/>
        <v>0</v>
      </c>
      <c r="F50" s="354"/>
      <c r="G50" s="365"/>
      <c r="H50" s="365"/>
      <c r="I50" s="365"/>
      <c r="J50" s="365"/>
      <c r="K50" s="365"/>
      <c r="L50" s="365"/>
      <c r="M50" s="365"/>
      <c r="N50" s="365"/>
      <c r="O50" s="365"/>
      <c r="P50" s="365"/>
      <c r="Q50" s="336"/>
    </row>
    <row r="51" spans="2:31" x14ac:dyDescent="0.2">
      <c r="B51" s="231" t="s">
        <v>691</v>
      </c>
      <c r="C51" s="159"/>
      <c r="D51" s="379">
        <f>SUM(D24:D50)</f>
        <v>0</v>
      </c>
      <c r="E51" s="498">
        <f t="shared" si="2"/>
        <v>0</v>
      </c>
      <c r="F51" s="352">
        <f t="shared" ref="F51:Q51" si="3">SUM(F24:F50)</f>
        <v>0</v>
      </c>
      <c r="G51" s="363">
        <f t="shared" si="3"/>
        <v>0</v>
      </c>
      <c r="H51" s="363">
        <f t="shared" si="3"/>
        <v>0</v>
      </c>
      <c r="I51" s="363">
        <f t="shared" si="3"/>
        <v>0</v>
      </c>
      <c r="J51" s="363">
        <f t="shared" si="3"/>
        <v>0</v>
      </c>
      <c r="K51" s="363">
        <f t="shared" si="3"/>
        <v>0</v>
      </c>
      <c r="L51" s="363">
        <f t="shared" si="3"/>
        <v>0</v>
      </c>
      <c r="M51" s="363">
        <f t="shared" si="3"/>
        <v>0</v>
      </c>
      <c r="N51" s="363">
        <f t="shared" si="3"/>
        <v>0</v>
      </c>
      <c r="O51" s="363">
        <f t="shared" si="3"/>
        <v>0</v>
      </c>
      <c r="P51" s="363">
        <f t="shared" si="3"/>
        <v>0</v>
      </c>
      <c r="Q51" s="332">
        <f t="shared" si="3"/>
        <v>0</v>
      </c>
    </row>
    <row r="52" spans="2:31" ht="4.7" customHeight="1" x14ac:dyDescent="0.2">
      <c r="B52" s="225"/>
      <c r="D52" s="1131"/>
      <c r="E52" s="499"/>
      <c r="F52" s="353"/>
      <c r="G52" s="364"/>
      <c r="H52" s="372"/>
      <c r="I52" s="372"/>
      <c r="J52" s="372"/>
      <c r="K52" s="372"/>
      <c r="L52" s="372"/>
      <c r="M52" s="372"/>
      <c r="N52" s="372"/>
      <c r="O52" s="372"/>
      <c r="P52" s="372"/>
      <c r="Q52" s="335"/>
    </row>
    <row r="53" spans="2:31" x14ac:dyDescent="0.2">
      <c r="B53" s="227" t="s">
        <v>686</v>
      </c>
      <c r="C53" s="5"/>
      <c r="D53" s="1132"/>
      <c r="E53" s="499"/>
      <c r="F53" s="353"/>
      <c r="G53" s="364"/>
      <c r="H53" s="372"/>
      <c r="I53" s="372"/>
      <c r="J53" s="372"/>
      <c r="K53" s="372"/>
      <c r="L53" s="372"/>
      <c r="M53" s="372"/>
      <c r="N53" s="372"/>
      <c r="O53" s="372"/>
      <c r="P53" s="372"/>
      <c r="Q53" s="335"/>
    </row>
    <row r="54" spans="2:31" s="6" customFormat="1" x14ac:dyDescent="0.2">
      <c r="B54" s="233" t="s">
        <v>287</v>
      </c>
      <c r="C54" s="47"/>
      <c r="D54" s="501">
        <f>schF24b</f>
        <v>0</v>
      </c>
      <c r="E54" s="512">
        <f t="shared" ref="E54:E55" si="4">SUM(F54:Q54)</f>
        <v>0</v>
      </c>
      <c r="F54" s="350"/>
      <c r="G54" s="361"/>
      <c r="H54" s="361"/>
      <c r="I54" s="361"/>
      <c r="J54" s="361"/>
      <c r="K54" s="361"/>
      <c r="L54" s="361"/>
      <c r="M54" s="361"/>
      <c r="N54" s="361"/>
      <c r="O54" s="361"/>
      <c r="P54" s="361"/>
      <c r="Q54" s="330"/>
      <c r="T54" s="416"/>
      <c r="U54" s="416"/>
      <c r="V54" s="416"/>
      <c r="W54" s="416"/>
      <c r="X54" s="416"/>
      <c r="Y54" s="416"/>
      <c r="Z54" s="416"/>
      <c r="AA54" s="416"/>
      <c r="AB54" s="416"/>
      <c r="AC54" s="416"/>
      <c r="AD54" s="416"/>
      <c r="AE54" s="416"/>
    </row>
    <row r="55" spans="2:31" s="6" customFormat="1" x14ac:dyDescent="0.2">
      <c r="B55" s="233" t="s">
        <v>290</v>
      </c>
      <c r="C55" s="47"/>
      <c r="D55" s="501">
        <f>schF24a</f>
        <v>0</v>
      </c>
      <c r="E55" s="512">
        <f t="shared" si="4"/>
        <v>0</v>
      </c>
      <c r="F55" s="350"/>
      <c r="G55" s="361"/>
      <c r="H55" s="361"/>
      <c r="I55" s="361"/>
      <c r="J55" s="361"/>
      <c r="K55" s="361"/>
      <c r="L55" s="361"/>
      <c r="M55" s="361"/>
      <c r="N55" s="361"/>
      <c r="O55" s="361"/>
      <c r="P55" s="361"/>
      <c r="Q55" s="330"/>
      <c r="T55" s="416"/>
      <c r="U55" s="416"/>
      <c r="V55" s="416"/>
      <c r="W55" s="416"/>
      <c r="X55" s="416"/>
      <c r="Y55" s="416"/>
      <c r="Z55" s="416"/>
      <c r="AA55" s="416"/>
      <c r="AB55" s="416"/>
      <c r="AC55" s="416"/>
      <c r="AD55" s="416"/>
      <c r="AE55" s="416"/>
    </row>
    <row r="56" spans="2:31" s="6" customFormat="1" x14ac:dyDescent="0.2">
      <c r="B56" s="235" t="s">
        <v>806</v>
      </c>
      <c r="C56" s="48"/>
      <c r="D56" s="501">
        <v>0</v>
      </c>
      <c r="E56" s="511">
        <f t="shared" ref="E56:E62" si="5">SUM(F56:Q56)</f>
        <v>0</v>
      </c>
      <c r="F56" s="351"/>
      <c r="G56" s="362"/>
      <c r="H56" s="362"/>
      <c r="I56" s="362"/>
      <c r="J56" s="362"/>
      <c r="K56" s="362"/>
      <c r="L56" s="362"/>
      <c r="M56" s="362"/>
      <c r="N56" s="362"/>
      <c r="O56" s="362"/>
      <c r="P56" s="362"/>
      <c r="Q56" s="331"/>
      <c r="T56" s="416"/>
      <c r="U56" s="416"/>
      <c r="V56" s="416"/>
      <c r="W56" s="416"/>
      <c r="X56" s="416"/>
      <c r="Y56" s="416"/>
      <c r="Z56" s="416"/>
      <c r="AA56" s="416"/>
      <c r="AB56" s="416"/>
      <c r="AC56" s="416"/>
      <c r="AD56" s="416"/>
      <c r="AE56" s="416"/>
    </row>
    <row r="57" spans="2:31" s="6" customFormat="1" x14ac:dyDescent="0.2">
      <c r="B57" s="233" t="s">
        <v>289</v>
      </c>
      <c r="C57" s="47"/>
      <c r="D57" s="501">
        <f>_xlfn.IFNA(INDEX('Schedule F Entry'!$E$58:$E$63,MATCH($B57,'Schedule F Entry'!$C$58:$C$63,0)),0)</f>
        <v>0</v>
      </c>
      <c r="E57" s="511">
        <f t="shared" si="5"/>
        <v>0</v>
      </c>
      <c r="F57" s="351"/>
      <c r="G57" s="362"/>
      <c r="H57" s="362"/>
      <c r="I57" s="362"/>
      <c r="J57" s="362"/>
      <c r="K57" s="362"/>
      <c r="L57" s="362"/>
      <c r="M57" s="362"/>
      <c r="N57" s="362"/>
      <c r="O57" s="362"/>
      <c r="P57" s="362"/>
      <c r="Q57" s="331"/>
      <c r="T57" s="416"/>
      <c r="U57" s="416"/>
      <c r="V57" s="416"/>
      <c r="W57" s="416"/>
      <c r="X57" s="416"/>
      <c r="Y57" s="416"/>
      <c r="Z57" s="416"/>
      <c r="AA57" s="416"/>
      <c r="AB57" s="416"/>
      <c r="AC57" s="416"/>
      <c r="AD57" s="416"/>
      <c r="AE57" s="416"/>
    </row>
    <row r="58" spans="2:31" s="6" customFormat="1" x14ac:dyDescent="0.2">
      <c r="B58" s="233" t="s">
        <v>716</v>
      </c>
      <c r="C58" s="47"/>
      <c r="D58" s="501">
        <f>schF10</f>
        <v>0</v>
      </c>
      <c r="E58" s="511">
        <f t="shared" si="5"/>
        <v>0</v>
      </c>
      <c r="F58" s="351"/>
      <c r="G58" s="362"/>
      <c r="H58" s="362"/>
      <c r="I58" s="362"/>
      <c r="J58" s="362"/>
      <c r="K58" s="362"/>
      <c r="L58" s="362"/>
      <c r="M58" s="362"/>
      <c r="N58" s="362"/>
      <c r="O58" s="362"/>
      <c r="P58" s="362"/>
      <c r="Q58" s="331"/>
      <c r="T58" s="416"/>
      <c r="U58" s="416"/>
      <c r="V58" s="416"/>
      <c r="W58" s="416"/>
      <c r="X58" s="416"/>
      <c r="Y58" s="416"/>
      <c r="Z58" s="416"/>
      <c r="AA58" s="416"/>
      <c r="AB58" s="416"/>
      <c r="AC58" s="416"/>
      <c r="AD58" s="416"/>
      <c r="AE58" s="416"/>
    </row>
    <row r="59" spans="2:31" s="6" customFormat="1" x14ac:dyDescent="0.2">
      <c r="B59" s="233" t="s">
        <v>717</v>
      </c>
      <c r="C59" s="47"/>
      <c r="D59" s="501">
        <f>schF12</f>
        <v>0</v>
      </c>
      <c r="E59" s="511">
        <f t="shared" si="5"/>
        <v>0</v>
      </c>
      <c r="F59" s="351"/>
      <c r="G59" s="362"/>
      <c r="H59" s="362"/>
      <c r="I59" s="362"/>
      <c r="J59" s="362"/>
      <c r="K59" s="362"/>
      <c r="L59" s="362"/>
      <c r="M59" s="362"/>
      <c r="N59" s="362"/>
      <c r="O59" s="362"/>
      <c r="P59" s="362"/>
      <c r="Q59" s="331"/>
      <c r="T59" s="416"/>
      <c r="U59" s="416"/>
      <c r="V59" s="416"/>
      <c r="W59" s="416"/>
      <c r="X59" s="416"/>
      <c r="Y59" s="416"/>
      <c r="Z59" s="416"/>
      <c r="AA59" s="416"/>
      <c r="AB59" s="416"/>
      <c r="AC59" s="416"/>
      <c r="AD59" s="416"/>
      <c r="AE59" s="416"/>
    </row>
    <row r="60" spans="2:31" s="6" customFormat="1" x14ac:dyDescent="0.2">
      <c r="B60" s="235" t="s">
        <v>288</v>
      </c>
      <c r="C60" s="48"/>
      <c r="D60" s="501">
        <f>_xlfn.IFNA(INDEX('Schedule F Entry'!$E$58:$E$63,MATCH($B60,'Schedule F Entry'!$C$58:$C$63,0)),0)</f>
        <v>0</v>
      </c>
      <c r="E60" s="511">
        <f t="shared" si="5"/>
        <v>0</v>
      </c>
      <c r="F60" s="351"/>
      <c r="G60" s="362"/>
      <c r="H60" s="362"/>
      <c r="I60" s="362"/>
      <c r="J60" s="362"/>
      <c r="K60" s="362"/>
      <c r="L60" s="362"/>
      <c r="M60" s="362"/>
      <c r="N60" s="362"/>
      <c r="O60" s="362"/>
      <c r="P60" s="362"/>
      <c r="Q60" s="331"/>
      <c r="T60" s="416"/>
      <c r="U60" s="416"/>
      <c r="V60" s="416"/>
      <c r="W60" s="416"/>
      <c r="X60" s="416"/>
      <c r="Y60" s="416"/>
      <c r="Z60" s="416"/>
      <c r="AA60" s="416"/>
      <c r="AB60" s="416"/>
      <c r="AC60" s="416"/>
      <c r="AD60" s="416"/>
      <c r="AE60" s="416"/>
    </row>
    <row r="61" spans="2:31" x14ac:dyDescent="0.2">
      <c r="B61" s="233" t="s">
        <v>65</v>
      </c>
      <c r="C61" s="60"/>
      <c r="D61" s="501">
        <f>schF29</f>
        <v>0</v>
      </c>
      <c r="E61" s="511">
        <f t="shared" si="5"/>
        <v>0</v>
      </c>
      <c r="F61" s="351"/>
      <c r="G61" s="362"/>
      <c r="H61" s="362"/>
      <c r="I61" s="362"/>
      <c r="J61" s="362"/>
      <c r="K61" s="362"/>
      <c r="L61" s="362"/>
      <c r="M61" s="362"/>
      <c r="N61" s="362"/>
      <c r="O61" s="362"/>
      <c r="P61" s="362"/>
      <c r="Q61" s="331"/>
    </row>
    <row r="62" spans="2:31" x14ac:dyDescent="0.2">
      <c r="B62" s="559" t="s">
        <v>709</v>
      </c>
      <c r="C62" s="148"/>
      <c r="D62" s="501">
        <f>_xlfn.IFNA(INDEX('Schedule F Entry'!$E$58:$E$63,MATCH($B62,'Schedule F Entry'!$C$58:$C$63,0)),0)</f>
        <v>0</v>
      </c>
      <c r="E62" s="501">
        <f t="shared" si="5"/>
        <v>0</v>
      </c>
      <c r="F62" s="351"/>
      <c r="G62" s="362"/>
      <c r="H62" s="362"/>
      <c r="I62" s="362"/>
      <c r="J62" s="362"/>
      <c r="K62" s="362"/>
      <c r="L62" s="362"/>
      <c r="M62" s="362"/>
      <c r="N62" s="362"/>
      <c r="O62" s="362"/>
      <c r="P62" s="362"/>
      <c r="Q62" s="331"/>
    </row>
    <row r="63" spans="2:31" x14ac:dyDescent="0.2">
      <c r="B63" s="237" t="s">
        <v>690</v>
      </c>
      <c r="C63" s="160"/>
      <c r="D63" s="379">
        <f>SUM(D54:D62)</f>
        <v>0</v>
      </c>
      <c r="E63" s="498">
        <f>IF(E21&lt;&gt;0,SUM(F63:Q63),0)</f>
        <v>0</v>
      </c>
      <c r="F63" s="352">
        <f t="shared" ref="F63:Q63" si="6">SUM(F54:F62)</f>
        <v>0</v>
      </c>
      <c r="G63" s="363">
        <f t="shared" si="6"/>
        <v>0</v>
      </c>
      <c r="H63" s="363">
        <f t="shared" si="6"/>
        <v>0</v>
      </c>
      <c r="I63" s="363">
        <f t="shared" si="6"/>
        <v>0</v>
      </c>
      <c r="J63" s="363">
        <f t="shared" si="6"/>
        <v>0</v>
      </c>
      <c r="K63" s="363">
        <f t="shared" si="6"/>
        <v>0</v>
      </c>
      <c r="L63" s="363">
        <f t="shared" si="6"/>
        <v>0</v>
      </c>
      <c r="M63" s="363">
        <f t="shared" si="6"/>
        <v>0</v>
      </c>
      <c r="N63" s="363">
        <f t="shared" si="6"/>
        <v>0</v>
      </c>
      <c r="O63" s="363">
        <f t="shared" si="6"/>
        <v>0</v>
      </c>
      <c r="P63" s="363">
        <f t="shared" si="6"/>
        <v>0</v>
      </c>
      <c r="Q63" s="332">
        <f t="shared" si="6"/>
        <v>0</v>
      </c>
    </row>
    <row r="64" spans="2:31" ht="3.6" customHeight="1" x14ac:dyDescent="0.2">
      <c r="B64" s="480"/>
      <c r="C64" s="481"/>
      <c r="D64" s="482"/>
      <c r="E64" s="502"/>
      <c r="F64" s="483"/>
      <c r="G64" s="484"/>
      <c r="H64" s="484"/>
      <c r="I64" s="484"/>
      <c r="J64" s="484"/>
      <c r="K64" s="484"/>
      <c r="L64" s="484"/>
      <c r="M64" s="484"/>
      <c r="N64" s="484"/>
      <c r="O64" s="484"/>
      <c r="P64" s="484"/>
      <c r="Q64" s="485"/>
    </row>
    <row r="65" spans="2:17" ht="13.5" thickBot="1" x14ac:dyDescent="0.25">
      <c r="B65" s="677" t="s">
        <v>438</v>
      </c>
      <c r="C65" s="678"/>
      <c r="D65" s="494">
        <f>D51+D63</f>
        <v>0</v>
      </c>
      <c r="E65" s="507">
        <f>IF(E21&lt;&gt;0,SUM(F65:Q65),0)</f>
        <v>0</v>
      </c>
      <c r="F65" s="679">
        <f t="shared" ref="F65:Q65" si="7">F51+F63</f>
        <v>0</v>
      </c>
      <c r="G65" s="680">
        <f t="shared" si="7"/>
        <v>0</v>
      </c>
      <c r="H65" s="680">
        <f t="shared" si="7"/>
        <v>0</v>
      </c>
      <c r="I65" s="680">
        <f t="shared" si="7"/>
        <v>0</v>
      </c>
      <c r="J65" s="680">
        <f t="shared" si="7"/>
        <v>0</v>
      </c>
      <c r="K65" s="680">
        <f t="shared" si="7"/>
        <v>0</v>
      </c>
      <c r="L65" s="680">
        <f t="shared" si="7"/>
        <v>0</v>
      </c>
      <c r="M65" s="680">
        <f t="shared" si="7"/>
        <v>0</v>
      </c>
      <c r="N65" s="680">
        <f t="shared" si="7"/>
        <v>0</v>
      </c>
      <c r="O65" s="680">
        <f t="shared" si="7"/>
        <v>0</v>
      </c>
      <c r="P65" s="680">
        <f t="shared" si="7"/>
        <v>0</v>
      </c>
      <c r="Q65" s="681">
        <f t="shared" si="7"/>
        <v>0</v>
      </c>
    </row>
    <row r="66" spans="2:17" ht="3.75" customHeight="1" thickBot="1" x14ac:dyDescent="0.25">
      <c r="B66" s="10"/>
      <c r="C66" s="10"/>
      <c r="D66" s="268"/>
      <c r="E66" s="503"/>
      <c r="F66" s="353"/>
      <c r="G66" s="364"/>
      <c r="H66" s="364"/>
      <c r="I66" s="364"/>
      <c r="J66" s="364"/>
      <c r="K66" s="364"/>
      <c r="L66" s="364"/>
      <c r="M66" s="364"/>
      <c r="N66" s="364"/>
      <c r="O66" s="364"/>
      <c r="P66" s="364"/>
      <c r="Q66" s="333"/>
    </row>
    <row r="67" spans="2:17" ht="12" customHeight="1" x14ac:dyDescent="0.2">
      <c r="B67" s="1122" t="s">
        <v>799</v>
      </c>
      <c r="C67" s="487"/>
      <c r="D67" s="1133">
        <f>$D$5</f>
        <v>0</v>
      </c>
      <c r="E67" s="1134" t="s">
        <v>15</v>
      </c>
      <c r="F67" s="347" t="s">
        <v>4</v>
      </c>
      <c r="G67" s="358" t="s">
        <v>5</v>
      </c>
      <c r="H67" s="369" t="s">
        <v>6</v>
      </c>
      <c r="I67" s="369" t="s">
        <v>7</v>
      </c>
      <c r="J67" s="369" t="s">
        <v>3</v>
      </c>
      <c r="K67" s="369" t="s">
        <v>8</v>
      </c>
      <c r="L67" s="369" t="s">
        <v>9</v>
      </c>
      <c r="M67" s="369" t="s">
        <v>10</v>
      </c>
      <c r="N67" s="369" t="s">
        <v>11</v>
      </c>
      <c r="O67" s="369" t="s">
        <v>12</v>
      </c>
      <c r="P67" s="369" t="s">
        <v>13</v>
      </c>
      <c r="Q67" s="252" t="s">
        <v>14</v>
      </c>
    </row>
    <row r="68" spans="2:17" ht="12" customHeight="1" x14ac:dyDescent="0.2">
      <c r="B68" s="243" t="s">
        <v>270</v>
      </c>
      <c r="C68" s="158"/>
      <c r="D68" s="500">
        <f>schFSaleMach+schFSaleVehicle+schFSaleOther</f>
        <v>0</v>
      </c>
      <c r="E68" s="501">
        <f t="shared" ref="E68:E76" si="8">SUM(F68:Q68)</f>
        <v>0</v>
      </c>
      <c r="F68" s="362"/>
      <c r="G68" s="362"/>
      <c r="H68" s="362"/>
      <c r="I68" s="362"/>
      <c r="J68" s="362"/>
      <c r="K68" s="362"/>
      <c r="L68" s="362"/>
      <c r="M68" s="362"/>
      <c r="N68" s="362"/>
      <c r="O68" s="362"/>
      <c r="P68" s="362"/>
      <c r="Q68" s="331"/>
    </row>
    <row r="69" spans="2:17" ht="12" customHeight="1" x14ac:dyDescent="0.2">
      <c r="B69" s="242" t="s">
        <v>364</v>
      </c>
      <c r="C69" s="157"/>
      <c r="D69" s="501">
        <f>schFPurchMach+schFPurchVehicle+schFPurchOther</f>
        <v>0</v>
      </c>
      <c r="E69" s="500">
        <f t="shared" si="8"/>
        <v>0</v>
      </c>
      <c r="F69" s="350"/>
      <c r="G69" s="361"/>
      <c r="H69" s="361"/>
      <c r="I69" s="361"/>
      <c r="J69" s="361"/>
      <c r="K69" s="361"/>
      <c r="L69" s="361"/>
      <c r="M69" s="361"/>
      <c r="N69" s="361"/>
      <c r="O69" s="361"/>
      <c r="P69" s="361"/>
      <c r="Q69" s="330"/>
    </row>
    <row r="70" spans="2:17" ht="12" customHeight="1" x14ac:dyDescent="0.2">
      <c r="B70" s="243" t="s">
        <v>281</v>
      </c>
      <c r="C70" s="158"/>
      <c r="D70" s="500">
        <f>schFSaleBldg</f>
        <v>0</v>
      </c>
      <c r="E70" s="501">
        <f t="shared" si="8"/>
        <v>0</v>
      </c>
      <c r="F70" s="362"/>
      <c r="G70" s="362"/>
      <c r="H70" s="362"/>
      <c r="I70" s="362"/>
      <c r="J70" s="362"/>
      <c r="K70" s="362"/>
      <c r="L70" s="362"/>
      <c r="M70" s="362"/>
      <c r="N70" s="362"/>
      <c r="O70" s="362"/>
      <c r="P70" s="362"/>
      <c r="Q70" s="331"/>
    </row>
    <row r="71" spans="2:17" ht="12" customHeight="1" x14ac:dyDescent="0.2">
      <c r="B71" s="242" t="s">
        <v>366</v>
      </c>
      <c r="C71" s="157"/>
      <c r="D71" s="501">
        <f>schFPurchBldg</f>
        <v>0</v>
      </c>
      <c r="E71" s="500">
        <f t="shared" si="8"/>
        <v>0</v>
      </c>
      <c r="F71" s="350"/>
      <c r="G71" s="361"/>
      <c r="H71" s="361"/>
      <c r="I71" s="361"/>
      <c r="J71" s="361"/>
      <c r="K71" s="361"/>
      <c r="L71" s="361"/>
      <c r="M71" s="361"/>
      <c r="N71" s="361"/>
      <c r="O71" s="361"/>
      <c r="P71" s="361"/>
      <c r="Q71" s="330"/>
    </row>
    <row r="72" spans="2:17" ht="12" customHeight="1" x14ac:dyDescent="0.2">
      <c r="B72" s="243" t="s">
        <v>706</v>
      </c>
      <c r="C72" s="158"/>
      <c r="D72" s="500">
        <f>schFSaleLvsk</f>
        <v>0</v>
      </c>
      <c r="E72" s="501">
        <f t="shared" si="8"/>
        <v>0</v>
      </c>
      <c r="F72" s="362"/>
      <c r="G72" s="362"/>
      <c r="H72" s="362"/>
      <c r="I72" s="362"/>
      <c r="J72" s="362"/>
      <c r="K72" s="362"/>
      <c r="L72" s="362"/>
      <c r="M72" s="362"/>
      <c r="N72" s="362"/>
      <c r="O72" s="362"/>
      <c r="P72" s="362"/>
      <c r="Q72" s="331"/>
    </row>
    <row r="73" spans="2:17" ht="12" customHeight="1" x14ac:dyDescent="0.2">
      <c r="B73" s="242" t="s">
        <v>365</v>
      </c>
      <c r="C73" s="157"/>
      <c r="D73" s="501">
        <f>schFPurchlvsk</f>
        <v>0</v>
      </c>
      <c r="E73" s="500">
        <f>SUM(F73:Q73)</f>
        <v>0</v>
      </c>
      <c r="F73" s="350"/>
      <c r="G73" s="361"/>
      <c r="H73" s="361"/>
      <c r="I73" s="361"/>
      <c r="J73" s="361"/>
      <c r="K73" s="361"/>
      <c r="L73" s="361"/>
      <c r="M73" s="361"/>
      <c r="N73" s="361"/>
      <c r="O73" s="361"/>
      <c r="P73" s="361"/>
      <c r="Q73" s="330"/>
    </row>
    <row r="74" spans="2:17" ht="12" customHeight="1" x14ac:dyDescent="0.2">
      <c r="B74" s="243" t="s">
        <v>829</v>
      </c>
      <c r="C74" s="158"/>
      <c r="D74" s="500">
        <f>schFSaleVehicle</f>
        <v>0</v>
      </c>
      <c r="E74" s="501">
        <f>SUM(F74:Q74)</f>
        <v>0</v>
      </c>
      <c r="F74" s="362"/>
      <c r="G74" s="362"/>
      <c r="H74" s="362"/>
      <c r="I74" s="362"/>
      <c r="J74" s="362"/>
      <c r="K74" s="362"/>
      <c r="L74" s="362"/>
      <c r="M74" s="362"/>
      <c r="N74" s="362"/>
      <c r="O74" s="362"/>
      <c r="P74" s="362"/>
      <c r="Q74" s="331"/>
    </row>
    <row r="75" spans="2:17" ht="12" customHeight="1" x14ac:dyDescent="0.2">
      <c r="B75" s="243" t="s">
        <v>828</v>
      </c>
      <c r="C75" s="158"/>
      <c r="D75" s="500">
        <f>schFPurchVehicle</f>
        <v>0</v>
      </c>
      <c r="E75" s="501">
        <f t="shared" si="8"/>
        <v>0</v>
      </c>
      <c r="F75" s="362"/>
      <c r="G75" s="362"/>
      <c r="H75" s="362"/>
      <c r="I75" s="362"/>
      <c r="J75" s="362"/>
      <c r="K75" s="362"/>
      <c r="L75" s="362"/>
      <c r="M75" s="362"/>
      <c r="N75" s="362"/>
      <c r="O75" s="362"/>
      <c r="P75" s="362"/>
      <c r="Q75" s="331"/>
    </row>
    <row r="76" spans="2:17" ht="12" customHeight="1" x14ac:dyDescent="0.2">
      <c r="B76" s="243" t="s">
        <v>707</v>
      </c>
      <c r="C76" s="158"/>
      <c r="D76" s="500">
        <f>schFSaleLand</f>
        <v>0</v>
      </c>
      <c r="E76" s="501">
        <f t="shared" si="8"/>
        <v>0</v>
      </c>
      <c r="F76" s="362"/>
      <c r="G76" s="362"/>
      <c r="H76" s="362"/>
      <c r="I76" s="362"/>
      <c r="J76" s="362"/>
      <c r="K76" s="362"/>
      <c r="L76" s="362"/>
      <c r="M76" s="362"/>
      <c r="N76" s="362"/>
      <c r="O76" s="362"/>
      <c r="P76" s="362"/>
      <c r="Q76" s="331"/>
    </row>
    <row r="77" spans="2:17" ht="12" customHeight="1" x14ac:dyDescent="0.2">
      <c r="B77" s="242" t="s">
        <v>719</v>
      </c>
      <c r="C77" s="157"/>
      <c r="D77" s="501">
        <f>schFPurchLand</f>
        <v>0</v>
      </c>
      <c r="E77" s="500">
        <f>SUM(F77:Q77)</f>
        <v>0</v>
      </c>
      <c r="F77" s="350"/>
      <c r="G77" s="361"/>
      <c r="H77" s="361"/>
      <c r="I77" s="361"/>
      <c r="J77" s="361"/>
      <c r="K77" s="361"/>
      <c r="L77" s="361"/>
      <c r="M77" s="361"/>
      <c r="N77" s="361"/>
      <c r="O77" s="361"/>
      <c r="P77" s="361"/>
      <c r="Q77" s="330"/>
    </row>
    <row r="78" spans="2:17" ht="12" customHeight="1" thickBot="1" x14ac:dyDescent="0.25">
      <c r="B78" s="677" t="s">
        <v>800</v>
      </c>
      <c r="C78" s="678"/>
      <c r="D78" s="494">
        <f>ACFSalesEquipTot-ACFCapPurchEquipTot+ACFSalesBuildTot-ACFCapPurchBuildingsTot+ACFSalesLvskTot-ACFCapPurchLivestockTot+ACFSalesLandTot-ACFCapPurchLandTot</f>
        <v>0</v>
      </c>
      <c r="E78" s="507">
        <f>IF(E21&lt;&gt;0,SUM(F78:Q78),0)</f>
        <v>0</v>
      </c>
      <c r="F78" s="679">
        <f>MCFSalesEquipInput-MCFCapPurchEquipInput+MCFSalesBuildInput-MCFCapPurchBuildingsInput+MCFSalesLvskInput-MCFCapPurchLivestockInput+MCFSalesLandInput-MCFCapPurchLandInput+MCFSalesVehInput-MCFCapPurchVehInput</f>
        <v>0</v>
      </c>
      <c r="G78" s="680">
        <f>G68-G69+G70-G71+G72-G73+G74-G75+G76-G77</f>
        <v>0</v>
      </c>
      <c r="H78" s="680">
        <f t="shared" ref="H78:Q78" si="9">H68-H69+H70-H71+H72-H73+H74-H75+H76-H77</f>
        <v>0</v>
      </c>
      <c r="I78" s="680">
        <f t="shared" si="9"/>
        <v>0</v>
      </c>
      <c r="J78" s="680">
        <f t="shared" si="9"/>
        <v>0</v>
      </c>
      <c r="K78" s="680">
        <f t="shared" si="9"/>
        <v>0</v>
      </c>
      <c r="L78" s="680">
        <f t="shared" si="9"/>
        <v>0</v>
      </c>
      <c r="M78" s="680">
        <f t="shared" si="9"/>
        <v>0</v>
      </c>
      <c r="N78" s="680">
        <f t="shared" si="9"/>
        <v>0</v>
      </c>
      <c r="O78" s="680">
        <f t="shared" si="9"/>
        <v>0</v>
      </c>
      <c r="P78" s="680">
        <f t="shared" si="9"/>
        <v>0</v>
      </c>
      <c r="Q78" s="681">
        <f t="shared" si="9"/>
        <v>0</v>
      </c>
    </row>
    <row r="79" spans="2:17" ht="3.75" customHeight="1" thickBot="1" x14ac:dyDescent="0.25">
      <c r="B79" s="238"/>
      <c r="C79" s="10"/>
      <c r="D79" s="275"/>
      <c r="E79" s="506"/>
      <c r="F79" s="356"/>
      <c r="G79" s="367"/>
      <c r="H79" s="367"/>
      <c r="I79" s="367"/>
      <c r="J79" s="367"/>
      <c r="K79" s="367"/>
      <c r="L79" s="367"/>
      <c r="M79" s="367"/>
      <c r="N79" s="367"/>
      <c r="O79" s="367"/>
      <c r="P79" s="367"/>
      <c r="Q79" s="339"/>
    </row>
    <row r="80" spans="2:17" ht="12" customHeight="1" x14ac:dyDescent="0.2">
      <c r="B80" s="489"/>
      <c r="C80" s="487"/>
      <c r="D80" s="1133">
        <f>$D$5</f>
        <v>0</v>
      </c>
      <c r="E80" s="1134" t="s">
        <v>15</v>
      </c>
      <c r="F80" s="347" t="s">
        <v>4</v>
      </c>
      <c r="G80" s="358" t="s">
        <v>5</v>
      </c>
      <c r="H80" s="369" t="s">
        <v>6</v>
      </c>
      <c r="I80" s="369" t="s">
        <v>7</v>
      </c>
      <c r="J80" s="369" t="s">
        <v>3</v>
      </c>
      <c r="K80" s="369" t="s">
        <v>8</v>
      </c>
      <c r="L80" s="369" t="s">
        <v>9</v>
      </c>
      <c r="M80" s="369" t="s">
        <v>10</v>
      </c>
      <c r="N80" s="369" t="s">
        <v>11</v>
      </c>
      <c r="O80" s="369" t="s">
        <v>12</v>
      </c>
      <c r="P80" s="369" t="s">
        <v>13</v>
      </c>
      <c r="Q80" s="252" t="s">
        <v>14</v>
      </c>
    </row>
    <row r="81" spans="2:31" ht="12" customHeight="1" x14ac:dyDescent="0.2">
      <c r="B81" s="461" t="s">
        <v>814</v>
      </c>
      <c r="C81" s="10"/>
      <c r="D81" s="268"/>
      <c r="E81" s="513"/>
      <c r="F81" s="353"/>
      <c r="G81" s="364"/>
      <c r="H81" s="364"/>
      <c r="I81" s="364"/>
      <c r="J81" s="364"/>
      <c r="K81" s="364"/>
      <c r="L81" s="364"/>
      <c r="M81" s="364"/>
      <c r="N81" s="364"/>
      <c r="O81" s="364"/>
      <c r="P81" s="364"/>
      <c r="Q81" s="337"/>
    </row>
    <row r="82" spans="2:31" ht="12.75" customHeight="1" x14ac:dyDescent="0.2">
      <c r="B82" s="241" t="s">
        <v>409</v>
      </c>
      <c r="C82" s="157"/>
      <c r="D82" s="501">
        <f>schFLoanTermPay</f>
        <v>0</v>
      </c>
      <c r="E82" s="512">
        <f>IF(E21&lt;&gt;0,SUM(F82:Q82),0)</f>
        <v>0</v>
      </c>
      <c r="F82" s="472">
        <f>INDEX('Loans to Cash Flows Wkst'!$D$2:$D$15,MATCH('Cash Flows'!F$6,'Loans to Cash Flows Wkst'!$C$2:$C$15,0))+INDEX(ProposedLoansWkst!$D$2:$D$15,MATCH('Cash Flows'!F$6,ProposedLoansWkst!$C$2:$C$15,0))</f>
        <v>0</v>
      </c>
      <c r="G82" s="473">
        <f>INDEX('Loans to Cash Flows Wkst'!$D$2:$D$15,MATCH('Cash Flows'!G$6,'Loans to Cash Flows Wkst'!$C$2:$C$15,0))+INDEX(ProposedLoansWkst!$D$2:$D$15,MATCH('Cash Flows'!G$6,ProposedLoansWkst!$C$2:$C$15,0))</f>
        <v>0</v>
      </c>
      <c r="H82" s="473">
        <f>INDEX('Loans to Cash Flows Wkst'!$D$2:$D$15,MATCH('Cash Flows'!H$6,'Loans to Cash Flows Wkst'!$C$2:$C$15,0))+INDEX(ProposedLoansWkst!$D$2:$D$15,MATCH('Cash Flows'!H$6,ProposedLoansWkst!$C$2:$C$15,0))</f>
        <v>0</v>
      </c>
      <c r="I82" s="473">
        <f>INDEX('Loans to Cash Flows Wkst'!$D$2:$D$15,MATCH('Cash Flows'!I$6,'Loans to Cash Flows Wkst'!$C$2:$C$15,0))+INDEX(ProposedLoansWkst!$D$2:$D$15,MATCH('Cash Flows'!I$6,ProposedLoansWkst!$C$2:$C$15,0))</f>
        <v>0</v>
      </c>
      <c r="J82" s="473">
        <f>INDEX('Loans to Cash Flows Wkst'!$D$2:$D$15,MATCH('Cash Flows'!J$6,'Loans to Cash Flows Wkst'!$C$2:$C$15,0))+INDEX(ProposedLoansWkst!$D$2:$D$15,MATCH('Cash Flows'!J$6,ProposedLoansWkst!$C$2:$C$15,0))</f>
        <v>0</v>
      </c>
      <c r="K82" s="473">
        <f>INDEX('Loans to Cash Flows Wkst'!$D$2:$D$15,MATCH('Cash Flows'!K$6,'Loans to Cash Flows Wkst'!$C$2:$C$15,0))+INDEX(ProposedLoansWkst!$D$2:$D$15,MATCH('Cash Flows'!K$6,ProposedLoansWkst!$C$2:$C$15,0))</f>
        <v>0</v>
      </c>
      <c r="L82" s="473">
        <f>INDEX('Loans to Cash Flows Wkst'!$D$2:$D$15,MATCH('Cash Flows'!L$6,'Loans to Cash Flows Wkst'!$C$2:$C$15,0))+INDEX(ProposedLoansWkst!$D$2:$D$15,MATCH('Cash Flows'!L$6,ProposedLoansWkst!$C$2:$C$15,0))</f>
        <v>0</v>
      </c>
      <c r="M82" s="473">
        <f>INDEX('Loans to Cash Flows Wkst'!$D$2:$D$15,MATCH('Cash Flows'!M$6,'Loans to Cash Flows Wkst'!$C$2:$C$15,0))+INDEX(ProposedLoansWkst!$D$2:$D$15,MATCH('Cash Flows'!M$6,ProposedLoansWkst!$C$2:$C$15,0))</f>
        <v>0</v>
      </c>
      <c r="N82" s="473">
        <f>INDEX('Loans to Cash Flows Wkst'!$D$2:$D$15,MATCH('Cash Flows'!N$6,'Loans to Cash Flows Wkst'!$C$2:$C$15,0))+INDEX(ProposedLoansWkst!$D$2:$D$15,MATCH('Cash Flows'!N$6,ProposedLoansWkst!$C$2:$C$15,0))</f>
        <v>0</v>
      </c>
      <c r="O82" s="473">
        <f>INDEX('Loans to Cash Flows Wkst'!$D$2:$D$15,MATCH('Cash Flows'!O$6,'Loans to Cash Flows Wkst'!$C$2:$C$15,0))+INDEX(ProposedLoansWkst!$D$2:$D$15,MATCH('Cash Flows'!O$6,ProposedLoansWkst!$C$2:$C$15,0))</f>
        <v>0</v>
      </c>
      <c r="P82" s="473">
        <f>INDEX('Loans to Cash Flows Wkst'!$D$2:$D$15,MATCH('Cash Flows'!P$6,'Loans to Cash Flows Wkst'!$C$2:$C$15,0))+INDEX(ProposedLoansWkst!$D$2:$D$15,MATCH('Cash Flows'!P$6,ProposedLoansWkst!$C$2:$C$15,0))</f>
        <v>0</v>
      </c>
      <c r="Q82" s="474">
        <f>INDEX('Loans to Cash Flows Wkst'!$D$2:$D$15,MATCH('Cash Flows'!Q$6,'Loans to Cash Flows Wkst'!$C$2:$C$15,0))+INDEX(ProposedLoansWkst!$D$2:$D$15,MATCH('Cash Flows'!Q$6,ProposedLoansWkst!$C$2:$C$15,0))</f>
        <v>0</v>
      </c>
    </row>
    <row r="83" spans="2:31" ht="12.75" customHeight="1" x14ac:dyDescent="0.2">
      <c r="B83" s="241" t="s">
        <v>801</v>
      </c>
      <c r="C83" s="157"/>
      <c r="D83" s="501">
        <f>schF21a</f>
        <v>0</v>
      </c>
      <c r="E83" s="512">
        <f>IF(E21&lt;&gt;0,SUM(F83:Q83),0)</f>
        <v>0</v>
      </c>
      <c r="F83" s="475">
        <f>INDEX('Loans to Cash Flows Wkst'!$E$2:$E$15,MATCH('Cash Flows'!F6,'Loans to Cash Flows Wkst'!$C$2:$C$15,0))+INDEX(ProposedLoansWkst!$E$2:$E$15,MATCH('Cash Flows'!F$6,ProposedLoansWkst!$C$2:$C$15,0))</f>
        <v>0</v>
      </c>
      <c r="G83" s="476">
        <f>INDEX('Loans to Cash Flows Wkst'!$E$2:$E$15,MATCH('Cash Flows'!G6,'Loans to Cash Flows Wkst'!$C$2:$C$15,0))+INDEX(ProposedLoansWkst!$E$2:$E$15,MATCH('Cash Flows'!G$6,ProposedLoansWkst!$C$2:$C$15,0))</f>
        <v>0</v>
      </c>
      <c r="H83" s="476">
        <f>INDEX('Loans to Cash Flows Wkst'!$E$2:$E$15,MATCH('Cash Flows'!H6,'Loans to Cash Flows Wkst'!$C$2:$C$15,0))+INDEX(ProposedLoansWkst!$E$2:$E$15,MATCH('Cash Flows'!H$6,ProposedLoansWkst!$C$2:$C$15,0))</f>
        <v>0</v>
      </c>
      <c r="I83" s="476">
        <f>INDEX('Loans to Cash Flows Wkst'!$E$2:$E$15,MATCH('Cash Flows'!I6,'Loans to Cash Flows Wkst'!$C$2:$C$15,0))+INDEX(ProposedLoansWkst!$E$2:$E$15,MATCH('Cash Flows'!I$6,ProposedLoansWkst!$C$2:$C$15,0))</f>
        <v>0</v>
      </c>
      <c r="J83" s="476">
        <f>INDEX('Loans to Cash Flows Wkst'!$E$2:$E$15,MATCH('Cash Flows'!J6,'Loans to Cash Flows Wkst'!$C$2:$C$15,0))+INDEX(ProposedLoansWkst!$E$2:$E$15,MATCH('Cash Flows'!J$6,ProposedLoansWkst!$C$2:$C$15,0))</f>
        <v>0</v>
      </c>
      <c r="K83" s="476">
        <f>INDEX('Loans to Cash Flows Wkst'!$E$2:$E$15,MATCH('Cash Flows'!K6,'Loans to Cash Flows Wkst'!$C$2:$C$15,0))+INDEX(ProposedLoansWkst!$E$2:$E$15,MATCH('Cash Flows'!K$6,ProposedLoansWkst!$C$2:$C$15,0))</f>
        <v>0</v>
      </c>
      <c r="L83" s="476">
        <f>INDEX('Loans to Cash Flows Wkst'!$E$2:$E$15,MATCH('Cash Flows'!L6,'Loans to Cash Flows Wkst'!$C$2:$C$15,0))+INDEX(ProposedLoansWkst!$E$2:$E$15,MATCH('Cash Flows'!L$6,ProposedLoansWkst!$C$2:$C$15,0))</f>
        <v>0</v>
      </c>
      <c r="M83" s="476">
        <f>INDEX('Loans to Cash Flows Wkst'!$E$2:$E$15,MATCH('Cash Flows'!M6,'Loans to Cash Flows Wkst'!$C$2:$C$15,0))+INDEX(ProposedLoansWkst!$E$2:$E$15,MATCH('Cash Flows'!M$6,ProposedLoansWkst!$C$2:$C$15,0))</f>
        <v>0</v>
      </c>
      <c r="N83" s="476">
        <f>INDEX('Loans to Cash Flows Wkst'!$E$2:$E$15,MATCH('Cash Flows'!N6,'Loans to Cash Flows Wkst'!$C$2:$C$15,0))+INDEX(ProposedLoansWkst!$E$2:$E$15,MATCH('Cash Flows'!N$6,ProposedLoansWkst!$C$2:$C$15,0))</f>
        <v>0</v>
      </c>
      <c r="O83" s="476">
        <f>INDEX('Loans to Cash Flows Wkst'!$E$2:$E$15,MATCH('Cash Flows'!O6,'Loans to Cash Flows Wkst'!$C$2:$C$15,0))+INDEX(ProposedLoansWkst!$E$2:$E$15,MATCH('Cash Flows'!O$6,ProposedLoansWkst!$C$2:$C$15,0))</f>
        <v>0</v>
      </c>
      <c r="P83" s="476">
        <f>INDEX('Loans to Cash Flows Wkst'!$E$2:$E$15,MATCH('Cash Flows'!P6,'Loans to Cash Flows Wkst'!$C$2:$C$15,0))+INDEX(ProposedLoansWkst!$E$2:$E$15,MATCH('Cash Flows'!P$6,ProposedLoansWkst!$C$2:$C$15,0))</f>
        <v>0</v>
      </c>
      <c r="Q83" s="477">
        <f>INDEX('Loans to Cash Flows Wkst'!$E$2:$E$15,MATCH('Cash Flows'!Q6,'Loans to Cash Flows Wkst'!$C$2:$C$15,0))+INDEX(ProposedLoansWkst!$E$2:$E$15,MATCH('Cash Flows'!Q$6,ProposedLoansWkst!$C$2:$C$15,0))</f>
        <v>0</v>
      </c>
    </row>
    <row r="84" spans="2:31" ht="12.75" customHeight="1" x14ac:dyDescent="0.2">
      <c r="B84" s="242" t="s">
        <v>132</v>
      </c>
      <c r="C84" s="157"/>
      <c r="D84" s="501">
        <f>schFLoanTermBorrow</f>
        <v>0</v>
      </c>
      <c r="E84" s="512">
        <f>IF(E21&lt;&gt;0,SUM(F84:Q84),0)</f>
        <v>0</v>
      </c>
      <c r="F84" s="472">
        <f>+INDEX(ProposedLoansWkst!$F$2:$F$15,MATCH('Cash Flows'!F$6,ProposedLoansWkst!$C$2:$C$15,0))</f>
        <v>0</v>
      </c>
      <c r="G84" s="473">
        <f>+INDEX(ProposedLoansWkst!$F$2:$F$15,MATCH('Cash Flows'!G$6,ProposedLoansWkst!$C$2:$C$15,0))</f>
        <v>0</v>
      </c>
      <c r="H84" s="473">
        <f>+INDEX(ProposedLoansWkst!$F$2:$F$15,MATCH('Cash Flows'!H$6,ProposedLoansWkst!$C$2:$C$15,0))</f>
        <v>0</v>
      </c>
      <c r="I84" s="473">
        <f>+INDEX(ProposedLoansWkst!$F$2:$F$15,MATCH('Cash Flows'!I$6,ProposedLoansWkst!$C$2:$C$15,0))</f>
        <v>0</v>
      </c>
      <c r="J84" s="473">
        <f>+INDEX(ProposedLoansWkst!$F$2:$F$15,MATCH('Cash Flows'!J$6,ProposedLoansWkst!$C$2:$C$15,0))</f>
        <v>0</v>
      </c>
      <c r="K84" s="473">
        <f>+INDEX(ProposedLoansWkst!$F$2:$F$15,MATCH('Cash Flows'!K$6,ProposedLoansWkst!$C$2:$C$15,0))</f>
        <v>0</v>
      </c>
      <c r="L84" s="473">
        <f>+INDEX(ProposedLoansWkst!$F$2:$F$15,MATCH('Cash Flows'!L$6,ProposedLoansWkst!$C$2:$C$15,0))</f>
        <v>0</v>
      </c>
      <c r="M84" s="473">
        <f>+INDEX(ProposedLoansWkst!$F$2:$F$15,MATCH('Cash Flows'!M$6,ProposedLoansWkst!$C$2:$C$15,0))</f>
        <v>0</v>
      </c>
      <c r="N84" s="473">
        <f>+INDEX(ProposedLoansWkst!$F$2:$F$15,MATCH('Cash Flows'!N$6,ProposedLoansWkst!$C$2:$C$15,0))</f>
        <v>0</v>
      </c>
      <c r="O84" s="473">
        <f>+INDEX(ProposedLoansWkst!$F$2:$F$15,MATCH('Cash Flows'!O$6,ProposedLoansWkst!$C$2:$C$15,0))</f>
        <v>0</v>
      </c>
      <c r="P84" s="473">
        <f>+INDEX(ProposedLoansWkst!$F$2:$F$15,MATCH('Cash Flows'!P$6,ProposedLoansWkst!$C$2:$C$15,0))</f>
        <v>0</v>
      </c>
      <c r="Q84" s="474">
        <f>+INDEX(ProposedLoansWkst!$F$2:$F$15,MATCH('Cash Flows'!Q$6,ProposedLoansWkst!$C$2:$C$15,0))</f>
        <v>0</v>
      </c>
    </row>
    <row r="85" spans="2:31" ht="12.75" customHeight="1" thickBot="1" x14ac:dyDescent="0.25">
      <c r="B85" s="677" t="s">
        <v>813</v>
      </c>
      <c r="C85" s="678"/>
      <c r="D85" s="494">
        <f>-ACFPrinTot-ACFFCTermInterestTot+ACFNewCredTot</f>
        <v>0</v>
      </c>
      <c r="E85" s="507">
        <f>IF(E21&lt;&gt;0,SUM(F85:Q85),0)</f>
        <v>0</v>
      </c>
      <c r="F85" s="679">
        <f>-MCFPrinInput-MCFFCInterestInput+MCFNewCredInput</f>
        <v>0</v>
      </c>
      <c r="G85" s="680">
        <f>-G82-G83+G84</f>
        <v>0</v>
      </c>
      <c r="H85" s="680">
        <f t="shared" ref="H85:Q85" si="10">-H82-H83+H84</f>
        <v>0</v>
      </c>
      <c r="I85" s="680">
        <f t="shared" si="10"/>
        <v>0</v>
      </c>
      <c r="J85" s="680">
        <f t="shared" si="10"/>
        <v>0</v>
      </c>
      <c r="K85" s="680">
        <f t="shared" si="10"/>
        <v>0</v>
      </c>
      <c r="L85" s="680">
        <f t="shared" si="10"/>
        <v>0</v>
      </c>
      <c r="M85" s="680">
        <f t="shared" si="10"/>
        <v>0</v>
      </c>
      <c r="N85" s="680">
        <f t="shared" si="10"/>
        <v>0</v>
      </c>
      <c r="O85" s="680">
        <f t="shared" si="10"/>
        <v>0</v>
      </c>
      <c r="P85" s="680">
        <f t="shared" si="10"/>
        <v>0</v>
      </c>
      <c r="Q85" s="681">
        <f t="shared" si="10"/>
        <v>0</v>
      </c>
    </row>
    <row r="86" spans="2:31" ht="3.75" customHeight="1" x14ac:dyDescent="0.2">
      <c r="B86" s="242"/>
      <c r="C86" s="157"/>
      <c r="D86" s="1073"/>
      <c r="E86" s="1074"/>
      <c r="F86" s="1070"/>
      <c r="G86" s="1071"/>
      <c r="H86" s="1071"/>
      <c r="I86" s="1071"/>
      <c r="J86" s="1071"/>
      <c r="K86" s="1071"/>
      <c r="L86" s="1071"/>
      <c r="M86" s="1071"/>
      <c r="N86" s="1071"/>
      <c r="O86" s="1071"/>
      <c r="P86" s="1071"/>
      <c r="Q86" s="1072"/>
    </row>
    <row r="87" spans="2:31" ht="3.75" customHeight="1" x14ac:dyDescent="0.2">
      <c r="B87" s="238"/>
      <c r="C87" s="10"/>
      <c r="D87" s="268"/>
      <c r="E87" s="513"/>
      <c r="F87" s="353"/>
      <c r="G87" s="364"/>
      <c r="H87" s="364"/>
      <c r="I87" s="364"/>
      <c r="J87" s="364"/>
      <c r="K87" s="364"/>
      <c r="L87" s="364"/>
      <c r="M87" s="364"/>
      <c r="N87" s="364"/>
      <c r="O87" s="364"/>
      <c r="P87" s="364"/>
      <c r="Q87" s="337"/>
    </row>
    <row r="88" spans="2:31" ht="13.5" thickBot="1" x14ac:dyDescent="0.25">
      <c r="B88" s="248" t="s">
        <v>233</v>
      </c>
      <c r="C88" s="249"/>
      <c r="D88" s="1089">
        <f t="shared" ref="D88:Q88" si="11">D21-D51-D63+D78+D85</f>
        <v>0</v>
      </c>
      <c r="E88" s="1090">
        <f t="shared" si="11"/>
        <v>0</v>
      </c>
      <c r="F88" s="357">
        <f t="shared" si="11"/>
        <v>0</v>
      </c>
      <c r="G88" s="368">
        <f t="shared" si="11"/>
        <v>0</v>
      </c>
      <c r="H88" s="368">
        <f t="shared" si="11"/>
        <v>0</v>
      </c>
      <c r="I88" s="368">
        <f t="shared" si="11"/>
        <v>0</v>
      </c>
      <c r="J88" s="368">
        <f t="shared" si="11"/>
        <v>0</v>
      </c>
      <c r="K88" s="368">
        <f t="shared" si="11"/>
        <v>0</v>
      </c>
      <c r="L88" s="368">
        <f t="shared" si="11"/>
        <v>0</v>
      </c>
      <c r="M88" s="368">
        <f t="shared" si="11"/>
        <v>0</v>
      </c>
      <c r="N88" s="368">
        <f t="shared" si="11"/>
        <v>0</v>
      </c>
      <c r="O88" s="368">
        <f t="shared" si="11"/>
        <v>0</v>
      </c>
      <c r="P88" s="368">
        <f t="shared" si="11"/>
        <v>0</v>
      </c>
      <c r="Q88" s="340">
        <f t="shared" si="11"/>
        <v>0</v>
      </c>
    </row>
    <row r="89" spans="2:31" ht="3.75" customHeight="1" x14ac:dyDescent="0.2">
      <c r="B89" s="462"/>
      <c r="C89" s="463"/>
      <c r="D89" s="1086"/>
      <c r="E89" s="1087"/>
      <c r="F89" s="1088"/>
      <c r="G89" s="1088"/>
      <c r="H89" s="1088"/>
      <c r="I89" s="1088"/>
      <c r="J89" s="1088"/>
      <c r="K89" s="1088"/>
      <c r="L89" s="1088"/>
      <c r="M89" s="1088"/>
      <c r="N89" s="1088"/>
      <c r="O89" s="1088"/>
      <c r="P89" s="1088"/>
      <c r="Q89" s="1088"/>
    </row>
    <row r="90" spans="2:31" ht="12.75" customHeight="1" x14ac:dyDescent="0.2">
      <c r="B90" s="462" t="s">
        <v>234</v>
      </c>
      <c r="C90" s="463"/>
      <c r="D90" s="1085"/>
      <c r="E90" s="203"/>
      <c r="F90" s="1088">
        <f>F88</f>
        <v>0</v>
      </c>
      <c r="G90" s="1088">
        <f>F90+G88</f>
        <v>0</v>
      </c>
      <c r="H90" s="1088">
        <f t="shared" ref="H90:Q90" si="12">G90+H88</f>
        <v>0</v>
      </c>
      <c r="I90" s="1088">
        <f t="shared" si="12"/>
        <v>0</v>
      </c>
      <c r="J90" s="1088">
        <f t="shared" si="12"/>
        <v>0</v>
      </c>
      <c r="K90" s="1088">
        <f t="shared" si="12"/>
        <v>0</v>
      </c>
      <c r="L90" s="1088">
        <f t="shared" si="12"/>
        <v>0</v>
      </c>
      <c r="M90" s="1088">
        <f t="shared" si="12"/>
        <v>0</v>
      </c>
      <c r="N90" s="1088">
        <f t="shared" si="12"/>
        <v>0</v>
      </c>
      <c r="O90" s="1088">
        <f t="shared" si="12"/>
        <v>0</v>
      </c>
      <c r="P90" s="1088">
        <f t="shared" si="12"/>
        <v>0</v>
      </c>
      <c r="Q90" s="1088">
        <f t="shared" si="12"/>
        <v>0</v>
      </c>
    </row>
    <row r="91" spans="2:31" s="13" customFormat="1" ht="12.75" customHeight="1" x14ac:dyDescent="0.2">
      <c r="D91" s="326"/>
      <c r="E91" s="203"/>
      <c r="F91" s="333"/>
      <c r="G91" s="333"/>
      <c r="H91" s="334"/>
      <c r="I91" s="334"/>
      <c r="J91" s="334"/>
      <c r="K91" s="334"/>
      <c r="L91" s="334"/>
      <c r="M91" s="334"/>
      <c r="N91" s="334"/>
      <c r="O91" s="334"/>
      <c r="P91" s="334"/>
      <c r="Q91" s="334"/>
      <c r="T91" s="1253"/>
      <c r="U91" s="1253"/>
      <c r="V91" s="1253"/>
      <c r="W91" s="1253"/>
      <c r="X91" s="1253"/>
      <c r="Y91" s="1253"/>
      <c r="Z91" s="1253"/>
      <c r="AA91" s="1253"/>
      <c r="AB91" s="1253"/>
      <c r="AC91" s="1253"/>
      <c r="AD91" s="1253"/>
      <c r="AE91" s="1253"/>
    </row>
    <row r="92" spans="2:31" ht="12.75" customHeight="1" x14ac:dyDescent="0.2">
      <c r="B92" s="1409" t="s">
        <v>261</v>
      </c>
      <c r="C92" s="13"/>
      <c r="D92" s="326"/>
      <c r="E92" s="203"/>
      <c r="F92" s="333"/>
      <c r="G92" s="333"/>
      <c r="H92" s="334"/>
      <c r="I92" s="334"/>
      <c r="J92" s="334"/>
      <c r="K92" s="334"/>
      <c r="L92" s="334"/>
      <c r="M92" s="334"/>
      <c r="N92" s="334"/>
      <c r="O92" s="334"/>
      <c r="P92" s="334"/>
      <c r="Q92" s="334"/>
    </row>
    <row r="93" spans="2:31" ht="12.75" customHeight="1" x14ac:dyDescent="0.2">
      <c r="B93" s="1409"/>
      <c r="C93" s="13"/>
      <c r="D93" s="326"/>
      <c r="E93" s="203"/>
      <c r="F93" s="333"/>
      <c r="G93" s="333"/>
      <c r="H93" s="334"/>
      <c r="I93" s="334"/>
      <c r="J93" s="334"/>
      <c r="K93" s="334"/>
      <c r="L93" s="334"/>
      <c r="M93" s="334"/>
      <c r="N93" s="334"/>
      <c r="O93" s="334"/>
      <c r="P93" s="334"/>
      <c r="Q93" s="334"/>
    </row>
    <row r="94" spans="2:31" ht="12.75" customHeight="1" thickBot="1" x14ac:dyDescent="0.25">
      <c r="C94" s="253"/>
      <c r="D94" s="327"/>
      <c r="E94" s="254"/>
      <c r="F94" s="341"/>
      <c r="G94" s="341"/>
      <c r="H94" s="341"/>
      <c r="I94" s="341"/>
      <c r="J94" s="341"/>
      <c r="K94" s="341"/>
      <c r="L94" s="341"/>
      <c r="M94" s="341"/>
      <c r="N94" s="341"/>
      <c r="O94" s="341"/>
      <c r="P94" s="341"/>
      <c r="Q94" s="341"/>
    </row>
    <row r="95" spans="2:31" ht="12.75" customHeight="1" x14ac:dyDescent="0.2">
      <c r="B95" s="250" t="s">
        <v>436</v>
      </c>
      <c r="C95" s="223"/>
      <c r="D95" s="383"/>
      <c r="E95" s="514" t="s">
        <v>15</v>
      </c>
      <c r="F95" s="387" t="s">
        <v>4</v>
      </c>
      <c r="G95" s="388" t="s">
        <v>5</v>
      </c>
      <c r="H95" s="388" t="s">
        <v>6</v>
      </c>
      <c r="I95" s="388" t="s">
        <v>7</v>
      </c>
      <c r="J95" s="388" t="s">
        <v>3</v>
      </c>
      <c r="K95" s="388" t="s">
        <v>8</v>
      </c>
      <c r="L95" s="388" t="s">
        <v>9</v>
      </c>
      <c r="M95" s="388" t="s">
        <v>10</v>
      </c>
      <c r="N95" s="388" t="s">
        <v>11</v>
      </c>
      <c r="O95" s="388" t="s">
        <v>12</v>
      </c>
      <c r="P95" s="388" t="s">
        <v>13</v>
      </c>
      <c r="Q95" s="343" t="s">
        <v>14</v>
      </c>
    </row>
    <row r="96" spans="2:31" ht="13.5" thickBot="1" x14ac:dyDescent="0.25">
      <c r="B96" s="227" t="s">
        <v>216</v>
      </c>
      <c r="C96" s="5"/>
      <c r="D96" s="377"/>
      <c r="E96" s="515"/>
      <c r="F96" s="353"/>
      <c r="G96" s="364"/>
      <c r="H96" s="372"/>
      <c r="I96" s="372"/>
      <c r="J96" s="372"/>
      <c r="K96" s="372"/>
      <c r="L96" s="372"/>
      <c r="M96" s="372"/>
      <c r="N96" s="372"/>
      <c r="O96" s="372"/>
      <c r="P96" s="372"/>
      <c r="Q96" s="335"/>
    </row>
    <row r="97" spans="1:31" ht="12.75" customHeight="1" thickTop="1" x14ac:dyDescent="0.2">
      <c r="A97" s="3" t="s">
        <v>429</v>
      </c>
      <c r="B97" s="229" t="s">
        <v>265</v>
      </c>
      <c r="C97" s="55"/>
      <c r="D97" s="373"/>
      <c r="E97" s="512">
        <f t="shared" ref="E97:E102" si="13">SUM(F97:Q97)</f>
        <v>0</v>
      </c>
      <c r="F97" s="350"/>
      <c r="G97" s="361"/>
      <c r="H97" s="361"/>
      <c r="I97" s="361"/>
      <c r="J97" s="361"/>
      <c r="K97" s="361"/>
      <c r="L97" s="361"/>
      <c r="M97" s="361"/>
      <c r="N97" s="361"/>
      <c r="O97" s="361"/>
      <c r="P97" s="361"/>
      <c r="Q97" s="330"/>
      <c r="T97" s="1254"/>
    </row>
    <row r="98" spans="1:31" s="44" customFormat="1" x14ac:dyDescent="0.2">
      <c r="A98" s="167" t="s">
        <v>430</v>
      </c>
      <c r="B98" s="229" t="s">
        <v>266</v>
      </c>
      <c r="C98" s="55"/>
      <c r="D98" s="373"/>
      <c r="E98" s="511">
        <f t="shared" si="13"/>
        <v>0</v>
      </c>
      <c r="F98" s="351"/>
      <c r="G98" s="362"/>
      <c r="H98" s="362"/>
      <c r="I98" s="362"/>
      <c r="J98" s="362"/>
      <c r="K98" s="362"/>
      <c r="L98" s="362"/>
      <c r="M98" s="362"/>
      <c r="N98" s="362"/>
      <c r="O98" s="362"/>
      <c r="P98" s="362"/>
      <c r="Q98" s="331"/>
      <c r="T98" s="416"/>
      <c r="U98" s="1252"/>
      <c r="V98" s="1252"/>
      <c r="W98" s="1252"/>
      <c r="X98" s="1252"/>
      <c r="Y98" s="1252"/>
      <c r="Z98" s="1252"/>
      <c r="AA98" s="1252"/>
      <c r="AB98" s="1252"/>
      <c r="AC98" s="1252"/>
      <c r="AD98" s="1252"/>
      <c r="AE98" s="1252"/>
    </row>
    <row r="99" spans="1:31" x14ac:dyDescent="0.2">
      <c r="A99" s="3" t="s">
        <v>430</v>
      </c>
      <c r="B99" s="229" t="s">
        <v>267</v>
      </c>
      <c r="C99" s="55"/>
      <c r="D99" s="373"/>
      <c r="E99" s="511">
        <f t="shared" si="13"/>
        <v>0</v>
      </c>
      <c r="F99" s="351"/>
      <c r="G99" s="362"/>
      <c r="H99" s="362"/>
      <c r="I99" s="362"/>
      <c r="J99" s="362"/>
      <c r="K99" s="362"/>
      <c r="L99" s="362"/>
      <c r="M99" s="362"/>
      <c r="N99" s="362"/>
      <c r="O99" s="362"/>
      <c r="P99" s="362"/>
      <c r="Q99" s="331"/>
      <c r="T99" s="416"/>
    </row>
    <row r="100" spans="1:31" x14ac:dyDescent="0.2">
      <c r="A100" s="3" t="s">
        <v>430</v>
      </c>
      <c r="B100" s="229" t="s">
        <v>268</v>
      </c>
      <c r="C100" s="55"/>
      <c r="D100" s="373"/>
      <c r="E100" s="511">
        <f t="shared" si="13"/>
        <v>0</v>
      </c>
      <c r="F100" s="351"/>
      <c r="G100" s="362"/>
      <c r="H100" s="362"/>
      <c r="I100" s="362"/>
      <c r="J100" s="362"/>
      <c r="K100" s="362"/>
      <c r="L100" s="362"/>
      <c r="M100" s="362"/>
      <c r="N100" s="362"/>
      <c r="O100" s="362"/>
      <c r="P100" s="362"/>
      <c r="Q100" s="331"/>
      <c r="T100" s="416"/>
    </row>
    <row r="101" spans="1:31" x14ac:dyDescent="0.2">
      <c r="A101" s="3" t="s">
        <v>430</v>
      </c>
      <c r="B101" s="229" t="s">
        <v>269</v>
      </c>
      <c r="C101" s="55"/>
      <c r="D101" s="373"/>
      <c r="E101" s="511">
        <f t="shared" si="13"/>
        <v>0</v>
      </c>
      <c r="F101" s="351"/>
      <c r="G101" s="362"/>
      <c r="H101" s="362"/>
      <c r="I101" s="362"/>
      <c r="J101" s="362"/>
      <c r="K101" s="362"/>
      <c r="L101" s="362"/>
      <c r="M101" s="362"/>
      <c r="N101" s="362"/>
      <c r="O101" s="362"/>
      <c r="P101" s="362"/>
      <c r="Q101" s="331"/>
      <c r="T101" s="416"/>
    </row>
    <row r="102" spans="1:31" x14ac:dyDescent="0.2">
      <c r="B102" s="230" t="s">
        <v>0</v>
      </c>
      <c r="C102" s="144"/>
      <c r="D102" s="374"/>
      <c r="E102" s="511">
        <f t="shared" si="13"/>
        <v>0</v>
      </c>
      <c r="F102" s="351"/>
      <c r="G102" s="362"/>
      <c r="H102" s="362"/>
      <c r="I102" s="362"/>
      <c r="J102" s="362"/>
      <c r="K102" s="362"/>
      <c r="L102" s="362"/>
      <c r="M102" s="362"/>
      <c r="N102" s="362"/>
      <c r="O102" s="362"/>
      <c r="P102" s="362"/>
      <c r="Q102" s="331"/>
      <c r="T102" s="416"/>
    </row>
    <row r="103" spans="1:31" x14ac:dyDescent="0.2">
      <c r="B103" s="231" t="s">
        <v>215</v>
      </c>
      <c r="C103" s="159"/>
      <c r="D103" s="375">
        <f t="shared" ref="D103:Q103" si="14">SUM(D97:D102)</f>
        <v>0</v>
      </c>
      <c r="E103" s="516">
        <f t="shared" si="14"/>
        <v>0</v>
      </c>
      <c r="F103" s="352">
        <f t="shared" si="14"/>
        <v>0</v>
      </c>
      <c r="G103" s="363">
        <f t="shared" si="14"/>
        <v>0</v>
      </c>
      <c r="H103" s="363">
        <f t="shared" si="14"/>
        <v>0</v>
      </c>
      <c r="I103" s="363">
        <f t="shared" si="14"/>
        <v>0</v>
      </c>
      <c r="J103" s="363">
        <f t="shared" si="14"/>
        <v>0</v>
      </c>
      <c r="K103" s="363">
        <f t="shared" si="14"/>
        <v>0</v>
      </c>
      <c r="L103" s="363">
        <f t="shared" si="14"/>
        <v>0</v>
      </c>
      <c r="M103" s="363">
        <f t="shared" si="14"/>
        <v>0</v>
      </c>
      <c r="N103" s="363">
        <f t="shared" si="14"/>
        <v>0</v>
      </c>
      <c r="O103" s="363">
        <f t="shared" si="14"/>
        <v>0</v>
      </c>
      <c r="P103" s="363">
        <f t="shared" si="14"/>
        <v>0</v>
      </c>
      <c r="Q103" s="332">
        <f t="shared" si="14"/>
        <v>0</v>
      </c>
      <c r="T103" s="416"/>
    </row>
    <row r="104" spans="1:31" ht="3.75" customHeight="1" x14ac:dyDescent="0.2">
      <c r="A104" s="3" t="s">
        <v>430</v>
      </c>
      <c r="B104" s="225"/>
      <c r="D104" s="376"/>
      <c r="E104" s="515"/>
      <c r="F104" s="353"/>
      <c r="G104" s="364"/>
      <c r="H104" s="372"/>
      <c r="I104" s="372"/>
      <c r="J104" s="372"/>
      <c r="K104" s="372"/>
      <c r="L104" s="372"/>
      <c r="M104" s="372"/>
      <c r="N104" s="372"/>
      <c r="O104" s="372"/>
      <c r="P104" s="372"/>
      <c r="Q104" s="335"/>
      <c r="T104" s="416"/>
    </row>
    <row r="105" spans="1:31" x14ac:dyDescent="0.2">
      <c r="A105" s="3" t="s">
        <v>430</v>
      </c>
      <c r="B105" s="227" t="s">
        <v>687</v>
      </c>
      <c r="C105" s="5"/>
      <c r="D105" s="377"/>
      <c r="E105" s="515"/>
      <c r="F105" s="353"/>
      <c r="G105" s="364"/>
      <c r="H105" s="372"/>
      <c r="I105" s="372"/>
      <c r="J105" s="372"/>
      <c r="K105" s="372"/>
      <c r="L105" s="372"/>
      <c r="M105" s="372"/>
      <c r="N105" s="372"/>
      <c r="O105" s="372"/>
      <c r="P105" s="372"/>
      <c r="Q105" s="335"/>
      <c r="T105" s="416"/>
    </row>
    <row r="106" spans="1:31" ht="12.75" customHeight="1" x14ac:dyDescent="0.2">
      <c r="A106" s="3" t="s">
        <v>430</v>
      </c>
      <c r="B106" s="229" t="s">
        <v>54</v>
      </c>
      <c r="C106" s="55"/>
      <c r="D106" s="373">
        <v>0</v>
      </c>
      <c r="E106" s="512">
        <f t="shared" ref="E106:E116" si="15">SUM(F106:Q106)</f>
        <v>0</v>
      </c>
      <c r="F106" s="350"/>
      <c r="G106" s="361"/>
      <c r="H106" s="361"/>
      <c r="I106" s="361"/>
      <c r="J106" s="361"/>
      <c r="K106" s="361"/>
      <c r="L106" s="361"/>
      <c r="M106" s="361"/>
      <c r="N106" s="361"/>
      <c r="O106" s="361"/>
      <c r="P106" s="361"/>
      <c r="Q106" s="330"/>
      <c r="T106" s="416"/>
    </row>
    <row r="107" spans="1:31" ht="12.75" customHeight="1" x14ac:dyDescent="0.2">
      <c r="A107" s="3" t="s">
        <v>430</v>
      </c>
      <c r="B107" s="229" t="s">
        <v>47</v>
      </c>
      <c r="C107" s="55"/>
      <c r="D107" s="373"/>
      <c r="E107" s="511">
        <f t="shared" si="15"/>
        <v>0</v>
      </c>
      <c r="F107" s="351"/>
      <c r="G107" s="362"/>
      <c r="H107" s="362"/>
      <c r="I107" s="362"/>
      <c r="J107" s="362"/>
      <c r="K107" s="362"/>
      <c r="L107" s="362"/>
      <c r="M107" s="362"/>
      <c r="N107" s="362"/>
      <c r="O107" s="362"/>
      <c r="P107" s="362"/>
      <c r="Q107" s="331"/>
      <c r="T107" s="416"/>
    </row>
    <row r="108" spans="1:31" ht="12.75" customHeight="1" x14ac:dyDescent="0.2">
      <c r="A108" s="3" t="s">
        <v>430</v>
      </c>
      <c r="B108" s="229" t="s">
        <v>55</v>
      </c>
      <c r="C108" s="55"/>
      <c r="D108" s="373"/>
      <c r="E108" s="511">
        <f t="shared" si="15"/>
        <v>0</v>
      </c>
      <c r="F108" s="351"/>
      <c r="G108" s="362"/>
      <c r="H108" s="362"/>
      <c r="I108" s="362"/>
      <c r="J108" s="362"/>
      <c r="K108" s="362"/>
      <c r="L108" s="362"/>
      <c r="M108" s="362"/>
      <c r="N108" s="362"/>
      <c r="O108" s="362"/>
      <c r="P108" s="362"/>
      <c r="Q108" s="331"/>
      <c r="T108" s="416"/>
    </row>
    <row r="109" spans="1:31" x14ac:dyDescent="0.2">
      <c r="A109" s="3" t="s">
        <v>430</v>
      </c>
      <c r="B109" s="229" t="s">
        <v>67</v>
      </c>
      <c r="C109" s="55"/>
      <c r="D109" s="373"/>
      <c r="E109" s="511">
        <f t="shared" si="15"/>
        <v>0</v>
      </c>
      <c r="F109" s="351"/>
      <c r="G109" s="362"/>
      <c r="H109" s="362"/>
      <c r="I109" s="362"/>
      <c r="J109" s="362"/>
      <c r="K109" s="362"/>
      <c r="L109" s="362"/>
      <c r="M109" s="362"/>
      <c r="N109" s="362"/>
      <c r="O109" s="362"/>
      <c r="P109" s="362"/>
      <c r="Q109" s="331"/>
      <c r="T109" s="416"/>
    </row>
    <row r="110" spans="1:31" x14ac:dyDescent="0.2">
      <c r="A110" s="3" t="s">
        <v>430</v>
      </c>
      <c r="B110" s="229" t="s">
        <v>272</v>
      </c>
      <c r="C110" s="55"/>
      <c r="D110" s="373"/>
      <c r="E110" s="511">
        <f>SUM(F110:Q110)</f>
        <v>0</v>
      </c>
      <c r="F110" s="351"/>
      <c r="G110" s="362"/>
      <c r="H110" s="362"/>
      <c r="I110" s="362"/>
      <c r="J110" s="362"/>
      <c r="K110" s="362"/>
      <c r="L110" s="362"/>
      <c r="M110" s="362"/>
      <c r="N110" s="362"/>
      <c r="O110" s="362"/>
      <c r="P110" s="362"/>
      <c r="Q110" s="331"/>
      <c r="T110" s="416"/>
    </row>
    <row r="111" spans="1:31" s="6" customFormat="1" x14ac:dyDescent="0.2">
      <c r="A111" s="6" t="s">
        <v>430</v>
      </c>
      <c r="B111" s="229" t="s">
        <v>56</v>
      </c>
      <c r="C111" s="55"/>
      <c r="D111" s="373"/>
      <c r="E111" s="511">
        <f t="shared" si="15"/>
        <v>0</v>
      </c>
      <c r="F111" s="351"/>
      <c r="G111" s="362"/>
      <c r="H111" s="362"/>
      <c r="I111" s="362"/>
      <c r="J111" s="362"/>
      <c r="K111" s="362"/>
      <c r="L111" s="362"/>
      <c r="M111" s="362"/>
      <c r="N111" s="362"/>
      <c r="O111" s="362"/>
      <c r="P111" s="362"/>
      <c r="Q111" s="331"/>
      <c r="T111" s="416"/>
      <c r="U111" s="416"/>
      <c r="V111" s="416"/>
      <c r="W111" s="416"/>
      <c r="X111" s="416"/>
      <c r="Y111" s="416"/>
      <c r="Z111" s="416"/>
      <c r="AA111" s="416"/>
      <c r="AB111" s="416"/>
      <c r="AC111" s="416"/>
      <c r="AD111" s="416"/>
      <c r="AE111" s="416"/>
    </row>
    <row r="112" spans="1:31" x14ac:dyDescent="0.2">
      <c r="A112" s="3" t="s">
        <v>430</v>
      </c>
      <c r="B112" s="229" t="s">
        <v>46</v>
      </c>
      <c r="C112" s="55"/>
      <c r="D112" s="373"/>
      <c r="E112" s="511">
        <f t="shared" si="15"/>
        <v>0</v>
      </c>
      <c r="F112" s="351"/>
      <c r="G112" s="362"/>
      <c r="H112" s="362"/>
      <c r="I112" s="362"/>
      <c r="J112" s="362"/>
      <c r="K112" s="362"/>
      <c r="L112" s="362"/>
      <c r="M112" s="362"/>
      <c r="N112" s="362"/>
      <c r="O112" s="362"/>
      <c r="P112" s="362"/>
      <c r="Q112" s="331"/>
      <c r="T112" s="416"/>
    </row>
    <row r="113" spans="1:31" x14ac:dyDescent="0.2">
      <c r="A113" s="3" t="s">
        <v>430</v>
      </c>
      <c r="B113" s="229" t="s">
        <v>66</v>
      </c>
      <c r="C113" s="55"/>
      <c r="D113" s="373"/>
      <c r="E113" s="511">
        <f t="shared" si="15"/>
        <v>0</v>
      </c>
      <c r="F113" s="351"/>
      <c r="G113" s="362"/>
      <c r="H113" s="362"/>
      <c r="I113" s="362"/>
      <c r="J113" s="362"/>
      <c r="K113" s="362"/>
      <c r="L113" s="362"/>
      <c r="M113" s="362"/>
      <c r="N113" s="362"/>
      <c r="O113" s="362"/>
      <c r="P113" s="362"/>
      <c r="Q113" s="331"/>
      <c r="T113" s="416"/>
    </row>
    <row r="114" spans="1:31" x14ac:dyDescent="0.2">
      <c r="A114" s="3" t="s">
        <v>430</v>
      </c>
      <c r="B114" s="229" t="s">
        <v>271</v>
      </c>
      <c r="C114" s="55"/>
      <c r="D114" s="373"/>
      <c r="E114" s="511">
        <f t="shared" si="15"/>
        <v>0</v>
      </c>
      <c r="F114" s="351"/>
      <c r="G114" s="362"/>
      <c r="H114" s="362"/>
      <c r="I114" s="362"/>
      <c r="J114" s="362"/>
      <c r="K114" s="362"/>
      <c r="L114" s="362"/>
      <c r="M114" s="362"/>
      <c r="N114" s="362"/>
      <c r="O114" s="362"/>
      <c r="P114" s="362"/>
      <c r="Q114" s="331"/>
      <c r="T114" s="416"/>
    </row>
    <row r="115" spans="1:31" x14ac:dyDescent="0.2">
      <c r="A115" s="3" t="s">
        <v>430</v>
      </c>
      <c r="B115" s="229" t="s">
        <v>702</v>
      </c>
      <c r="C115" s="55"/>
      <c r="D115" s="373"/>
      <c r="E115" s="511">
        <f t="shared" si="15"/>
        <v>0</v>
      </c>
      <c r="F115" s="354"/>
      <c r="G115" s="365"/>
      <c r="H115" s="365"/>
      <c r="I115" s="365"/>
      <c r="J115" s="365"/>
      <c r="K115" s="365"/>
      <c r="L115" s="365"/>
      <c r="M115" s="365"/>
      <c r="N115" s="365"/>
      <c r="O115" s="365"/>
      <c r="P115" s="365"/>
      <c r="Q115" s="336"/>
      <c r="T115" s="416"/>
    </row>
    <row r="116" spans="1:31" x14ac:dyDescent="0.2">
      <c r="A116" s="3" t="s">
        <v>430</v>
      </c>
      <c r="B116" s="231" t="s">
        <v>689</v>
      </c>
      <c r="C116" s="159"/>
      <c r="D116" s="384">
        <f>SUM(D106:D115)</f>
        <v>0</v>
      </c>
      <c r="E116" s="517">
        <f t="shared" si="15"/>
        <v>0</v>
      </c>
      <c r="F116" s="352">
        <f t="shared" ref="F116:Q116" si="16">SUM(F106:F115)</f>
        <v>0</v>
      </c>
      <c r="G116" s="363">
        <f t="shared" si="16"/>
        <v>0</v>
      </c>
      <c r="H116" s="363">
        <f t="shared" si="16"/>
        <v>0</v>
      </c>
      <c r="I116" s="363">
        <f t="shared" si="16"/>
        <v>0</v>
      </c>
      <c r="J116" s="363">
        <f t="shared" si="16"/>
        <v>0</v>
      </c>
      <c r="K116" s="363">
        <f t="shared" si="16"/>
        <v>0</v>
      </c>
      <c r="L116" s="363">
        <f t="shared" si="16"/>
        <v>0</v>
      </c>
      <c r="M116" s="363">
        <f t="shared" si="16"/>
        <v>0</v>
      </c>
      <c r="N116" s="363">
        <f t="shared" si="16"/>
        <v>0</v>
      </c>
      <c r="O116" s="363">
        <f t="shared" si="16"/>
        <v>0</v>
      </c>
      <c r="P116" s="363">
        <f t="shared" si="16"/>
        <v>0</v>
      </c>
      <c r="Q116" s="332">
        <f t="shared" si="16"/>
        <v>0</v>
      </c>
      <c r="T116" s="416"/>
    </row>
    <row r="117" spans="1:31" ht="3.75" customHeight="1" x14ac:dyDescent="0.2">
      <c r="A117" s="3" t="s">
        <v>430</v>
      </c>
      <c r="B117" s="225"/>
      <c r="D117" s="376"/>
      <c r="E117" s="515"/>
      <c r="F117" s="353"/>
      <c r="G117" s="364"/>
      <c r="H117" s="372"/>
      <c r="I117" s="372"/>
      <c r="J117" s="372"/>
      <c r="K117" s="372"/>
      <c r="L117" s="372"/>
      <c r="M117" s="372"/>
      <c r="N117" s="372"/>
      <c r="O117" s="372"/>
      <c r="P117" s="372"/>
      <c r="Q117" s="335"/>
      <c r="T117" s="416"/>
    </row>
    <row r="118" spans="1:31" x14ac:dyDescent="0.2">
      <c r="A118" s="3" t="s">
        <v>430</v>
      </c>
      <c r="B118" s="227" t="s">
        <v>688</v>
      </c>
      <c r="C118" s="5"/>
      <c r="D118" s="377"/>
      <c r="E118" s="515"/>
      <c r="F118" s="353"/>
      <c r="G118" s="364"/>
      <c r="H118" s="372"/>
      <c r="I118" s="372"/>
      <c r="J118" s="372"/>
      <c r="K118" s="372"/>
      <c r="L118" s="372"/>
      <c r="M118" s="372"/>
      <c r="N118" s="372"/>
      <c r="O118" s="372"/>
      <c r="P118" s="372"/>
      <c r="Q118" s="335"/>
      <c r="T118" s="416"/>
    </row>
    <row r="119" spans="1:31" ht="12.75" customHeight="1" x14ac:dyDescent="0.2">
      <c r="A119" s="3" t="s">
        <v>430</v>
      </c>
      <c r="B119" s="229" t="s">
        <v>274</v>
      </c>
      <c r="C119" s="55"/>
      <c r="D119" s="373"/>
      <c r="E119" s="512">
        <f t="shared" ref="E119:E124" si="17">SUM(F119:Q119)</f>
        <v>0</v>
      </c>
      <c r="F119" s="350"/>
      <c r="G119" s="361"/>
      <c r="H119" s="361"/>
      <c r="I119" s="361"/>
      <c r="J119" s="361"/>
      <c r="K119" s="361"/>
      <c r="L119" s="361"/>
      <c r="M119" s="361"/>
      <c r="N119" s="361"/>
      <c r="O119" s="361"/>
      <c r="P119" s="361"/>
      <c r="Q119" s="330"/>
      <c r="T119" s="416"/>
    </row>
    <row r="120" spans="1:31" x14ac:dyDescent="0.2">
      <c r="A120" s="3" t="s">
        <v>430</v>
      </c>
      <c r="B120" s="229" t="s">
        <v>57</v>
      </c>
      <c r="C120" s="55"/>
      <c r="D120" s="373"/>
      <c r="E120" s="511">
        <f t="shared" si="17"/>
        <v>0</v>
      </c>
      <c r="F120" s="351"/>
      <c r="G120" s="362"/>
      <c r="H120" s="362"/>
      <c r="I120" s="362"/>
      <c r="J120" s="362"/>
      <c r="K120" s="362"/>
      <c r="L120" s="362"/>
      <c r="M120" s="362"/>
      <c r="N120" s="362"/>
      <c r="O120" s="362"/>
      <c r="P120" s="362"/>
      <c r="Q120" s="331"/>
      <c r="T120" s="416"/>
    </row>
    <row r="121" spans="1:31" ht="12" customHeight="1" x14ac:dyDescent="0.2">
      <c r="A121" s="56"/>
      <c r="B121" s="229" t="s">
        <v>58</v>
      </c>
      <c r="C121" s="55"/>
      <c r="D121" s="373"/>
      <c r="E121" s="511">
        <f t="shared" si="17"/>
        <v>0</v>
      </c>
      <c r="F121" s="351"/>
      <c r="G121" s="362"/>
      <c r="H121" s="362"/>
      <c r="I121" s="362"/>
      <c r="J121" s="362"/>
      <c r="K121" s="362"/>
      <c r="L121" s="362"/>
      <c r="M121" s="362"/>
      <c r="N121" s="362"/>
      <c r="O121" s="362"/>
      <c r="P121" s="362"/>
      <c r="Q121" s="331"/>
      <c r="T121" s="416"/>
    </row>
    <row r="122" spans="1:31" s="6" customFormat="1" x14ac:dyDescent="0.2">
      <c r="A122" s="6" t="s">
        <v>430</v>
      </c>
      <c r="B122" s="229" t="s">
        <v>59</v>
      </c>
      <c r="C122" s="55"/>
      <c r="D122" s="373"/>
      <c r="E122" s="511">
        <f t="shared" si="17"/>
        <v>0</v>
      </c>
      <c r="F122" s="351"/>
      <c r="G122" s="362"/>
      <c r="H122" s="362"/>
      <c r="I122" s="362"/>
      <c r="J122" s="362"/>
      <c r="K122" s="362"/>
      <c r="L122" s="362"/>
      <c r="M122" s="362"/>
      <c r="N122" s="362"/>
      <c r="O122" s="362"/>
      <c r="P122" s="362"/>
      <c r="Q122" s="331"/>
      <c r="T122" s="416"/>
      <c r="U122" s="416"/>
      <c r="V122" s="416"/>
      <c r="W122" s="416"/>
      <c r="X122" s="416"/>
      <c r="Y122" s="416"/>
      <c r="Z122" s="416"/>
      <c r="AA122" s="416"/>
      <c r="AB122" s="416"/>
      <c r="AC122" s="416"/>
      <c r="AD122" s="416"/>
      <c r="AE122" s="416"/>
    </row>
    <row r="123" spans="1:31" s="6" customFormat="1" x14ac:dyDescent="0.2">
      <c r="A123" s="6" t="s">
        <v>430</v>
      </c>
      <c r="B123" s="229" t="s">
        <v>692</v>
      </c>
      <c r="C123" s="55"/>
      <c r="D123" s="373"/>
      <c r="E123" s="511">
        <f t="shared" si="17"/>
        <v>0</v>
      </c>
      <c r="F123" s="351"/>
      <c r="G123" s="362"/>
      <c r="H123" s="362"/>
      <c r="I123" s="362"/>
      <c r="J123" s="362"/>
      <c r="K123" s="362"/>
      <c r="L123" s="362"/>
      <c r="M123" s="362"/>
      <c r="N123" s="362"/>
      <c r="O123" s="362"/>
      <c r="P123" s="362"/>
      <c r="Q123" s="331"/>
      <c r="T123" s="416"/>
      <c r="U123" s="416"/>
      <c r="V123" s="416"/>
      <c r="W123" s="416"/>
      <c r="X123" s="416"/>
      <c r="Y123" s="416"/>
      <c r="Z123" s="416"/>
      <c r="AA123" s="416"/>
      <c r="AB123" s="416"/>
      <c r="AC123" s="416"/>
      <c r="AD123" s="416"/>
      <c r="AE123" s="416"/>
    </row>
    <row r="124" spans="1:31" s="6" customFormat="1" x14ac:dyDescent="0.2">
      <c r="A124" s="6" t="s">
        <v>430</v>
      </c>
      <c r="B124" s="229" t="s">
        <v>693</v>
      </c>
      <c r="C124" s="55"/>
      <c r="D124" s="373"/>
      <c r="E124" s="511">
        <f t="shared" si="17"/>
        <v>0</v>
      </c>
      <c r="F124" s="351"/>
      <c r="G124" s="362"/>
      <c r="H124" s="362"/>
      <c r="I124" s="362"/>
      <c r="J124" s="362"/>
      <c r="K124" s="362"/>
      <c r="L124" s="362"/>
      <c r="M124" s="362"/>
      <c r="N124" s="362"/>
      <c r="O124" s="362"/>
      <c r="P124" s="362"/>
      <c r="Q124" s="331"/>
      <c r="T124" s="416"/>
      <c r="U124" s="416"/>
      <c r="V124" s="416"/>
      <c r="W124" s="416"/>
      <c r="X124" s="416"/>
      <c r="Y124" s="416"/>
      <c r="Z124" s="416"/>
      <c r="AA124" s="416"/>
      <c r="AB124" s="416"/>
      <c r="AC124" s="416"/>
      <c r="AD124" s="416"/>
      <c r="AE124" s="416"/>
    </row>
    <row r="125" spans="1:31" s="6" customFormat="1" x14ac:dyDescent="0.2">
      <c r="B125" s="237" t="s">
        <v>694</v>
      </c>
      <c r="C125" s="160"/>
      <c r="D125" s="384">
        <f>SUM(D119:D124)</f>
        <v>0</v>
      </c>
      <c r="E125" s="517">
        <f>IF(E103&lt;&gt;0,SUM(F125:Q125),0)</f>
        <v>0</v>
      </c>
      <c r="F125" s="352">
        <f t="shared" ref="F125:Q125" si="18">SUM(F119:F124)</f>
        <v>0</v>
      </c>
      <c r="G125" s="363">
        <f t="shared" si="18"/>
        <v>0</v>
      </c>
      <c r="H125" s="363">
        <f t="shared" si="18"/>
        <v>0</v>
      </c>
      <c r="I125" s="363">
        <f t="shared" si="18"/>
        <v>0</v>
      </c>
      <c r="J125" s="363">
        <f t="shared" si="18"/>
        <v>0</v>
      </c>
      <c r="K125" s="363">
        <f t="shared" si="18"/>
        <v>0</v>
      </c>
      <c r="L125" s="363">
        <f t="shared" si="18"/>
        <v>0</v>
      </c>
      <c r="M125" s="363">
        <f t="shared" si="18"/>
        <v>0</v>
      </c>
      <c r="N125" s="363">
        <f t="shared" si="18"/>
        <v>0</v>
      </c>
      <c r="O125" s="363">
        <f t="shared" si="18"/>
        <v>0</v>
      </c>
      <c r="P125" s="363">
        <f t="shared" si="18"/>
        <v>0</v>
      </c>
      <c r="Q125" s="332">
        <f t="shared" si="18"/>
        <v>0</v>
      </c>
      <c r="T125" s="416"/>
      <c r="U125" s="416"/>
      <c r="V125" s="416"/>
      <c r="W125" s="416"/>
      <c r="X125" s="416"/>
      <c r="Y125" s="416"/>
      <c r="Z125" s="416"/>
      <c r="AA125" s="416"/>
      <c r="AB125" s="416"/>
      <c r="AC125" s="416"/>
      <c r="AD125" s="416"/>
      <c r="AE125" s="416"/>
    </row>
    <row r="126" spans="1:31" s="6" customFormat="1" ht="3.6" customHeight="1" x14ac:dyDescent="0.2">
      <c r="A126" s="6" t="s">
        <v>430</v>
      </c>
      <c r="B126" s="238"/>
      <c r="C126" s="10"/>
      <c r="D126" s="382"/>
      <c r="E126" s="518"/>
      <c r="F126" s="356"/>
      <c r="G126" s="367"/>
      <c r="H126" s="367"/>
      <c r="I126" s="367"/>
      <c r="J126" s="367"/>
      <c r="K126" s="367"/>
      <c r="L126" s="367"/>
      <c r="M126" s="367"/>
      <c r="N126" s="367"/>
      <c r="O126" s="367"/>
      <c r="P126" s="367"/>
      <c r="Q126" s="339"/>
      <c r="T126" s="416"/>
      <c r="U126" s="416"/>
      <c r="V126" s="416"/>
      <c r="W126" s="416"/>
      <c r="X126" s="416"/>
      <c r="Y126" s="416"/>
      <c r="Z126" s="416"/>
      <c r="AA126" s="416"/>
      <c r="AB126" s="416"/>
      <c r="AC126" s="416"/>
      <c r="AD126" s="416"/>
      <c r="AE126" s="416"/>
    </row>
    <row r="127" spans="1:31" s="6" customFormat="1" ht="13.5" thickBot="1" x14ac:dyDescent="0.25">
      <c r="A127" s="6" t="s">
        <v>430</v>
      </c>
      <c r="B127" s="1075" t="s">
        <v>503</v>
      </c>
      <c r="C127" s="1076"/>
      <c r="D127" s="1077">
        <f>D116+D125</f>
        <v>0</v>
      </c>
      <c r="E127" s="1078">
        <f>IF(E103&lt;&gt;0,SUM(F127:Q127),0)</f>
        <v>0</v>
      </c>
      <c r="F127" s="1079">
        <f t="shared" ref="F127:Q127" si="19">F116+F125</f>
        <v>0</v>
      </c>
      <c r="G127" s="1080">
        <f t="shared" si="19"/>
        <v>0</v>
      </c>
      <c r="H127" s="1080">
        <f t="shared" si="19"/>
        <v>0</v>
      </c>
      <c r="I127" s="1080">
        <f t="shared" si="19"/>
        <v>0</v>
      </c>
      <c r="J127" s="1080">
        <f t="shared" si="19"/>
        <v>0</v>
      </c>
      <c r="K127" s="1080">
        <f t="shared" si="19"/>
        <v>0</v>
      </c>
      <c r="L127" s="1080">
        <f t="shared" si="19"/>
        <v>0</v>
      </c>
      <c r="M127" s="1080">
        <f t="shared" si="19"/>
        <v>0</v>
      </c>
      <c r="N127" s="1080">
        <f t="shared" si="19"/>
        <v>0</v>
      </c>
      <c r="O127" s="1080">
        <f t="shared" si="19"/>
        <v>0</v>
      </c>
      <c r="P127" s="1080">
        <f t="shared" si="19"/>
        <v>0</v>
      </c>
      <c r="Q127" s="1081">
        <f t="shared" si="19"/>
        <v>0</v>
      </c>
      <c r="T127" s="416"/>
      <c r="U127" s="416"/>
      <c r="V127" s="416"/>
      <c r="W127" s="416"/>
      <c r="X127" s="416"/>
      <c r="Y127" s="416"/>
      <c r="Z127" s="416"/>
      <c r="AA127" s="416"/>
      <c r="AB127" s="416"/>
      <c r="AC127" s="416"/>
      <c r="AD127" s="416"/>
      <c r="AE127" s="416"/>
    </row>
    <row r="128" spans="1:31" s="6" customFormat="1" ht="3.6" customHeight="1" thickBot="1" x14ac:dyDescent="0.25">
      <c r="B128" s="238"/>
      <c r="C128" s="10"/>
      <c r="D128" s="382"/>
      <c r="E128" s="506"/>
      <c r="F128" s="356"/>
      <c r="G128" s="367"/>
      <c r="H128" s="367"/>
      <c r="I128" s="367"/>
      <c r="J128" s="367"/>
      <c r="K128" s="367"/>
      <c r="L128" s="367"/>
      <c r="M128" s="367"/>
      <c r="N128" s="367"/>
      <c r="O128" s="367"/>
      <c r="P128" s="367"/>
      <c r="Q128" s="339"/>
      <c r="T128" s="416"/>
      <c r="U128" s="416"/>
      <c r="V128" s="416"/>
      <c r="W128" s="416"/>
      <c r="X128" s="416"/>
      <c r="Y128" s="416"/>
      <c r="Z128" s="416"/>
      <c r="AA128" s="416"/>
      <c r="AB128" s="416"/>
      <c r="AC128" s="416"/>
      <c r="AD128" s="416"/>
      <c r="AE128" s="416"/>
    </row>
    <row r="129" spans="1:20" ht="12.75" customHeight="1" x14ac:dyDescent="0.2">
      <c r="A129" s="3" t="s">
        <v>430</v>
      </c>
      <c r="B129" s="489"/>
      <c r="C129" s="487"/>
      <c r="D129" s="358">
        <f>$D$5</f>
        <v>0</v>
      </c>
      <c r="E129" s="504" t="s">
        <v>15</v>
      </c>
      <c r="F129" s="347" t="s">
        <v>4</v>
      </c>
      <c r="G129" s="358" t="s">
        <v>5</v>
      </c>
      <c r="H129" s="369" t="s">
        <v>6</v>
      </c>
      <c r="I129" s="369" t="s">
        <v>7</v>
      </c>
      <c r="J129" s="369" t="s">
        <v>3</v>
      </c>
      <c r="K129" s="369" t="s">
        <v>8</v>
      </c>
      <c r="L129" s="369" t="s">
        <v>9</v>
      </c>
      <c r="M129" s="369" t="s">
        <v>10</v>
      </c>
      <c r="N129" s="369" t="s">
        <v>11</v>
      </c>
      <c r="O129" s="369" t="s">
        <v>12</v>
      </c>
      <c r="P129" s="369" t="s">
        <v>13</v>
      </c>
      <c r="Q129" s="252" t="s">
        <v>14</v>
      </c>
      <c r="T129" s="416"/>
    </row>
    <row r="130" spans="1:20" ht="12.75" customHeight="1" x14ac:dyDescent="0.2">
      <c r="B130" s="10" t="s">
        <v>807</v>
      </c>
      <c r="C130" s="10"/>
      <c r="D130" s="382"/>
      <c r="E130" s="518"/>
      <c r="F130" s="356"/>
      <c r="G130" s="367"/>
      <c r="H130" s="367"/>
      <c r="I130" s="367"/>
      <c r="J130" s="367"/>
      <c r="K130" s="367"/>
      <c r="L130" s="367"/>
      <c r="M130" s="367"/>
      <c r="N130" s="367"/>
      <c r="O130" s="367"/>
      <c r="P130" s="367"/>
      <c r="Q130" s="331"/>
      <c r="T130" s="416"/>
    </row>
    <row r="131" spans="1:20" x14ac:dyDescent="0.2">
      <c r="B131" s="243" t="s">
        <v>270</v>
      </c>
      <c r="C131" s="158"/>
      <c r="D131" s="381"/>
      <c r="E131" s="511">
        <f>SUM(F131:Q131)</f>
        <v>1</v>
      </c>
      <c r="F131" s="351">
        <v>1</v>
      </c>
      <c r="G131" s="362"/>
      <c r="H131" s="362"/>
      <c r="I131" s="362"/>
      <c r="J131" s="362"/>
      <c r="K131" s="362"/>
      <c r="L131" s="362"/>
      <c r="M131" s="362"/>
      <c r="N131" s="362"/>
      <c r="O131" s="362"/>
      <c r="P131" s="362"/>
      <c r="Q131" s="331"/>
      <c r="T131" s="416"/>
    </row>
    <row r="132" spans="1:20" ht="12.75" customHeight="1" x14ac:dyDescent="0.2">
      <c r="A132" s="3" t="s">
        <v>430</v>
      </c>
      <c r="B132" s="242" t="s">
        <v>273</v>
      </c>
      <c r="C132" s="157"/>
      <c r="D132" s="373"/>
      <c r="E132" s="512">
        <f>SUM(F132:Q132)</f>
        <v>1</v>
      </c>
      <c r="F132" s="350"/>
      <c r="G132" s="361">
        <v>1</v>
      </c>
      <c r="H132" s="361"/>
      <c r="I132" s="361"/>
      <c r="J132" s="361"/>
      <c r="K132" s="361"/>
      <c r="L132" s="361"/>
      <c r="M132" s="361"/>
      <c r="N132" s="361"/>
      <c r="O132" s="361"/>
      <c r="P132" s="361"/>
      <c r="Q132" s="330"/>
      <c r="T132" s="416"/>
    </row>
    <row r="133" spans="1:20" ht="12.75" customHeight="1" thickBot="1" x14ac:dyDescent="0.25">
      <c r="B133" s="678" t="s">
        <v>808</v>
      </c>
      <c r="C133" s="678"/>
      <c r="D133" s="1082">
        <f>ACFDMEquipSaleTot-ACFDMCapPurchTot</f>
        <v>0</v>
      </c>
      <c r="E133" s="1083">
        <f>MCFDMEquipSaleTot-MCFDMCapPurchTot</f>
        <v>0</v>
      </c>
      <c r="F133" s="679">
        <f>MCFDMEquipSaleInput-MCFDMCapPurchInput</f>
        <v>1</v>
      </c>
      <c r="G133" s="680">
        <f>G131-G132</f>
        <v>-1</v>
      </c>
      <c r="H133" s="680">
        <f t="shared" ref="H133:Q133" si="20">H131-H132</f>
        <v>0</v>
      </c>
      <c r="I133" s="680">
        <f t="shared" si="20"/>
        <v>0</v>
      </c>
      <c r="J133" s="680">
        <f t="shared" si="20"/>
        <v>0</v>
      </c>
      <c r="K133" s="680">
        <f t="shared" si="20"/>
        <v>0</v>
      </c>
      <c r="L133" s="680">
        <f t="shared" si="20"/>
        <v>0</v>
      </c>
      <c r="M133" s="680">
        <f t="shared" si="20"/>
        <v>0</v>
      </c>
      <c r="N133" s="680">
        <f t="shared" si="20"/>
        <v>0</v>
      </c>
      <c r="O133" s="680">
        <f t="shared" si="20"/>
        <v>0</v>
      </c>
      <c r="P133" s="680">
        <f t="shared" si="20"/>
        <v>0</v>
      </c>
      <c r="Q133" s="1084">
        <f t="shared" si="20"/>
        <v>0</v>
      </c>
      <c r="T133" s="416"/>
    </row>
    <row r="134" spans="1:20" ht="3.6" customHeight="1" thickBot="1" x14ac:dyDescent="0.25">
      <c r="B134" s="10"/>
      <c r="C134" s="10"/>
      <c r="D134" s="382"/>
      <c r="E134" s="518"/>
      <c r="F134" s="356"/>
      <c r="G134" s="367"/>
      <c r="H134" s="367"/>
      <c r="I134" s="367"/>
      <c r="J134" s="367"/>
      <c r="K134" s="367"/>
      <c r="L134" s="367"/>
      <c r="M134" s="367"/>
      <c r="N134" s="367"/>
      <c r="O134" s="367"/>
      <c r="P134" s="367"/>
      <c r="Q134" s="486"/>
      <c r="T134" s="416"/>
    </row>
    <row r="135" spans="1:20" ht="12.75" customHeight="1" x14ac:dyDescent="0.2">
      <c r="A135" s="3" t="s">
        <v>430</v>
      </c>
      <c r="B135" s="461" t="s">
        <v>816</v>
      </c>
      <c r="C135" s="487"/>
      <c r="D135" s="358">
        <f>$D$5</f>
        <v>0</v>
      </c>
      <c r="E135" s="1135" t="s">
        <v>15</v>
      </c>
      <c r="F135" s="347" t="s">
        <v>4</v>
      </c>
      <c r="G135" s="358" t="s">
        <v>5</v>
      </c>
      <c r="H135" s="369" t="s">
        <v>6</v>
      </c>
      <c r="I135" s="369" t="s">
        <v>7</v>
      </c>
      <c r="J135" s="369" t="s">
        <v>3</v>
      </c>
      <c r="K135" s="369" t="s">
        <v>8</v>
      </c>
      <c r="L135" s="369" t="s">
        <v>9</v>
      </c>
      <c r="M135" s="369" t="s">
        <v>10</v>
      </c>
      <c r="N135" s="369" t="s">
        <v>11</v>
      </c>
      <c r="O135" s="369" t="s">
        <v>12</v>
      </c>
      <c r="P135" s="369" t="s">
        <v>13</v>
      </c>
      <c r="Q135" s="252" t="s">
        <v>14</v>
      </c>
      <c r="T135" s="416"/>
    </row>
    <row r="136" spans="1:20" ht="3.6" customHeight="1" x14ac:dyDescent="0.2">
      <c r="A136" s="3" t="s">
        <v>430</v>
      </c>
      <c r="C136" s="10"/>
      <c r="D136" s="382"/>
      <c r="E136" s="518"/>
      <c r="F136" s="356"/>
      <c r="G136" s="367"/>
      <c r="H136" s="367"/>
      <c r="I136" s="367"/>
      <c r="J136" s="367"/>
      <c r="K136" s="367"/>
      <c r="L136" s="367"/>
      <c r="M136" s="367"/>
      <c r="N136" s="367"/>
      <c r="O136" s="367"/>
      <c r="P136" s="367"/>
      <c r="Q136" s="339"/>
      <c r="T136" s="416"/>
    </row>
    <row r="137" spans="1:20" ht="12.75" customHeight="1" x14ac:dyDescent="0.2">
      <c r="B137" s="241" t="s">
        <v>414</v>
      </c>
      <c r="C137" s="157"/>
      <c r="D137" s="373"/>
      <c r="E137" s="512">
        <f>IF(E103&lt;&gt;0,SUM(F137:Q137),0)</f>
        <v>0</v>
      </c>
      <c r="F137" s="472">
        <f>INDEX('Loans to Cash Flows Wkst'!$D$18:$D$31,MATCH('Cash Flows'!F$6,'Loans to Cash Flows Wkst'!$C$18:$C$31,0))+INDEX(ProposedLoansWkst!$D$18:$D$31,MATCH('Cash Flows'!F$6,ProposedLoansWkst!$C$18:$C$31,0))</f>
        <v>0</v>
      </c>
      <c r="G137" s="473">
        <f>INDEX('Loans to Cash Flows Wkst'!$D$18:$D$31,MATCH('Cash Flows'!G$6,'Loans to Cash Flows Wkst'!$C$18:$C$31,0))+INDEX(ProposedLoansWkst!$D$18:$D$31,MATCH('Cash Flows'!G$6,ProposedLoansWkst!$C$18:$C$31,0))</f>
        <v>0</v>
      </c>
      <c r="H137" s="473">
        <f>INDEX('Loans to Cash Flows Wkst'!$D$18:$D$31,MATCH('Cash Flows'!H$6,'Loans to Cash Flows Wkst'!$C$18:$C$31,0))+INDEX(ProposedLoansWkst!$D$18:$D$31,MATCH('Cash Flows'!H$6,ProposedLoansWkst!$C$18:$C$31,0))</f>
        <v>0</v>
      </c>
      <c r="I137" s="473">
        <f>INDEX('Loans to Cash Flows Wkst'!$D$18:$D$31,MATCH('Cash Flows'!I$6,'Loans to Cash Flows Wkst'!$C$18:$C$31,0))+INDEX(ProposedLoansWkst!$D$18:$D$31,MATCH('Cash Flows'!I$6,ProposedLoansWkst!$C$18:$C$31,0))</f>
        <v>0</v>
      </c>
      <c r="J137" s="473">
        <f>INDEX('Loans to Cash Flows Wkst'!$D$18:$D$31,MATCH('Cash Flows'!J$6,'Loans to Cash Flows Wkst'!$C$18:$C$31,0))+INDEX(ProposedLoansWkst!$D$18:$D$31,MATCH('Cash Flows'!J$6,ProposedLoansWkst!$C$18:$C$31,0))</f>
        <v>0</v>
      </c>
      <c r="K137" s="473">
        <f>INDEX('Loans to Cash Flows Wkst'!$D$18:$D$31,MATCH('Cash Flows'!K$6,'Loans to Cash Flows Wkst'!$C$18:$C$31,0))+INDEX(ProposedLoansWkst!$D$18:$D$31,MATCH('Cash Flows'!K$6,ProposedLoansWkst!$C$18:$C$31,0))</f>
        <v>0</v>
      </c>
      <c r="L137" s="473">
        <f>INDEX('Loans to Cash Flows Wkst'!$D$18:$D$31,MATCH('Cash Flows'!L$6,'Loans to Cash Flows Wkst'!$C$18:$C$31,0))+INDEX(ProposedLoansWkst!$D$18:$D$31,MATCH('Cash Flows'!L$6,ProposedLoansWkst!$C$18:$C$31,0))</f>
        <v>0</v>
      </c>
      <c r="M137" s="473">
        <f>INDEX('Loans to Cash Flows Wkst'!$D$18:$D$31,MATCH('Cash Flows'!M$6,'Loans to Cash Flows Wkst'!$C$18:$C$31,0))+INDEX(ProposedLoansWkst!$D$18:$D$31,MATCH('Cash Flows'!M$6,ProposedLoansWkst!$C$18:$C$31,0))</f>
        <v>0</v>
      </c>
      <c r="N137" s="473">
        <f>INDEX('Loans to Cash Flows Wkst'!$D$18:$D$31,MATCH('Cash Flows'!N$6,'Loans to Cash Flows Wkst'!$C$18:$C$31,0))+INDEX(ProposedLoansWkst!$D$18:$D$31,MATCH('Cash Flows'!N$6,ProposedLoansWkst!$C$18:$C$31,0))</f>
        <v>0</v>
      </c>
      <c r="O137" s="473">
        <f>INDEX('Loans to Cash Flows Wkst'!$D$18:$D$31,MATCH('Cash Flows'!O$6,'Loans to Cash Flows Wkst'!$C$18:$C$31,0))+INDEX(ProposedLoansWkst!$D$18:$D$31,MATCH('Cash Flows'!O$6,ProposedLoansWkst!$C$18:$C$31,0))</f>
        <v>0</v>
      </c>
      <c r="P137" s="473">
        <f>INDEX('Loans to Cash Flows Wkst'!$D$18:$D$31,MATCH('Cash Flows'!P$6,'Loans to Cash Flows Wkst'!$C$18:$C$31,0))+INDEX(ProposedLoansWkst!$D$18:$D$31,MATCH('Cash Flows'!P$6,ProposedLoansWkst!$C$18:$C$31,0))</f>
        <v>0</v>
      </c>
      <c r="Q137" s="474">
        <f>INDEX('Loans to Cash Flows Wkst'!$D$18:$D$31,MATCH('Cash Flows'!Q$6,'Loans to Cash Flows Wkst'!$C$18:$C$31,0))+INDEX(ProposedLoansWkst!$D$18:$D$31,MATCH('Cash Flows'!Q$6,ProposedLoansWkst!$C$18:$C$31,0))</f>
        <v>0</v>
      </c>
      <c r="T137" s="416"/>
    </row>
    <row r="138" spans="1:20" ht="12.75" customHeight="1" x14ac:dyDescent="0.2">
      <c r="B138" s="229" t="s">
        <v>812</v>
      </c>
      <c r="C138" s="55"/>
      <c r="D138" s="373"/>
      <c r="E138" s="511">
        <f>IF(E103&lt;&gt;0,SUM(F138:Q138),0)</f>
        <v>0</v>
      </c>
      <c r="F138" s="475">
        <f>INDEX('Loans to Cash Flows Wkst'!$E$18:$E$31,MATCH('Cash Flows'!F$6,'Loans to Cash Flows Wkst'!$C$18:$C$31,0))+INDEX(ProposedLoansWkst!$E$18:$E$31,MATCH('Cash Flows'!F$6,ProposedLoansWkst!$C$18:$C$31,0))</f>
        <v>0</v>
      </c>
      <c r="G138" s="476">
        <f>INDEX('Loans to Cash Flows Wkst'!$E$18:$E$31,MATCH('Cash Flows'!G$6,'Loans to Cash Flows Wkst'!$C$18:$C$31,0))+INDEX(ProposedLoansWkst!$E$18:$E$31,MATCH('Cash Flows'!G$6,ProposedLoansWkst!$C$18:$C$31,0))</f>
        <v>0</v>
      </c>
      <c r="H138" s="476">
        <f>INDEX('Loans to Cash Flows Wkst'!$E$18:$E$31,MATCH('Cash Flows'!H$6,'Loans to Cash Flows Wkst'!$C$18:$C$31,0))+INDEX(ProposedLoansWkst!$E$18:$E$31,MATCH('Cash Flows'!H$6,ProposedLoansWkst!$C$18:$C$31,0))</f>
        <v>0</v>
      </c>
      <c r="I138" s="476">
        <f>INDEX('Loans to Cash Flows Wkst'!$E$18:$E$31,MATCH('Cash Flows'!I$6,'Loans to Cash Flows Wkst'!$C$18:$C$31,0))+INDEX(ProposedLoansWkst!$E$18:$E$31,MATCH('Cash Flows'!I$6,ProposedLoansWkst!$C$18:$C$31,0))</f>
        <v>0</v>
      </c>
      <c r="J138" s="476">
        <f>INDEX('Loans to Cash Flows Wkst'!$E$18:$E$31,MATCH('Cash Flows'!J$6,'Loans to Cash Flows Wkst'!$C$18:$C$31,0))+INDEX(ProposedLoansWkst!$E$18:$E$31,MATCH('Cash Flows'!J$6,ProposedLoansWkst!$C$18:$C$31,0))</f>
        <v>0</v>
      </c>
      <c r="K138" s="476">
        <f>INDEX('Loans to Cash Flows Wkst'!$E$18:$E$31,MATCH('Cash Flows'!K$6,'Loans to Cash Flows Wkst'!$C$18:$C$31,0))+INDEX(ProposedLoansWkst!$E$18:$E$31,MATCH('Cash Flows'!K$6,ProposedLoansWkst!$C$18:$C$31,0))</f>
        <v>0</v>
      </c>
      <c r="L138" s="476">
        <f>INDEX('Loans to Cash Flows Wkst'!$E$18:$E$31,MATCH('Cash Flows'!L$6,'Loans to Cash Flows Wkst'!$C$18:$C$31,0))+INDEX(ProposedLoansWkst!$E$18:$E$31,MATCH('Cash Flows'!L$6,ProposedLoansWkst!$C$18:$C$31,0))</f>
        <v>0</v>
      </c>
      <c r="M138" s="476">
        <f>INDEX('Loans to Cash Flows Wkst'!$E$18:$E$31,MATCH('Cash Flows'!M$6,'Loans to Cash Flows Wkst'!$C$18:$C$31,0))+INDEX(ProposedLoansWkst!$E$18:$E$31,MATCH('Cash Flows'!M$6,ProposedLoansWkst!$C$18:$C$31,0))</f>
        <v>0</v>
      </c>
      <c r="N138" s="476">
        <f>INDEX('Loans to Cash Flows Wkst'!$E$18:$E$31,MATCH('Cash Flows'!N$6,'Loans to Cash Flows Wkst'!$C$18:$C$31,0))+INDEX(ProposedLoansWkst!$E$18:$E$31,MATCH('Cash Flows'!N$6,ProposedLoansWkst!$C$18:$C$31,0))</f>
        <v>0</v>
      </c>
      <c r="O138" s="476">
        <f>INDEX('Loans to Cash Flows Wkst'!$E$18:$E$31,MATCH('Cash Flows'!O$6,'Loans to Cash Flows Wkst'!$C$18:$C$31,0))+INDEX(ProposedLoansWkst!$E$18:$E$31,MATCH('Cash Flows'!O$6,ProposedLoansWkst!$C$18:$C$31,0))</f>
        <v>0</v>
      </c>
      <c r="P138" s="476">
        <f>INDEX('Loans to Cash Flows Wkst'!$E$18:$E$31,MATCH('Cash Flows'!P$6,'Loans to Cash Flows Wkst'!$C$18:$C$31,0))+INDEX(ProposedLoansWkst!$E$18:$E$31,MATCH('Cash Flows'!P$6,ProposedLoansWkst!$C$18:$C$31,0))</f>
        <v>0</v>
      </c>
      <c r="Q138" s="477">
        <f>INDEX('Loans to Cash Flows Wkst'!$E$18:$E$31,MATCH('Cash Flows'!Q$6,'Loans to Cash Flows Wkst'!$C$18:$C$31,0))+INDEX(ProposedLoansWkst!$E$18:$E$31,MATCH('Cash Flows'!Q$6,ProposedLoansWkst!$C$18:$C$31,0))</f>
        <v>0</v>
      </c>
      <c r="T138" s="416"/>
    </row>
    <row r="139" spans="1:20" x14ac:dyDescent="0.2">
      <c r="B139" s="242" t="s">
        <v>817</v>
      </c>
      <c r="C139" s="157"/>
      <c r="D139" s="373"/>
      <c r="E139" s="512">
        <f>SUM(F139:Q139)</f>
        <v>0</v>
      </c>
      <c r="F139" s="472">
        <f>+INDEX(ProposedLoansWkst!$F$18:$F$31,MATCH('Cash Flows'!F$6,ProposedLoansWkst!$C$18:$C$31,0))</f>
        <v>0</v>
      </c>
      <c r="G139" s="473">
        <f>+INDEX(ProposedLoansWkst!$F$18:$F$31,MATCH('Cash Flows'!G$6,ProposedLoansWkst!$C$18:$C$31,0))</f>
        <v>0</v>
      </c>
      <c r="H139" s="473">
        <f>+INDEX(ProposedLoansWkst!$F$18:$F$31,MATCH('Cash Flows'!H$6,ProposedLoansWkst!$C$18:$C$31,0))</f>
        <v>0</v>
      </c>
      <c r="I139" s="473">
        <f>+INDEX(ProposedLoansWkst!$F$18:$F$31,MATCH('Cash Flows'!I$6,ProposedLoansWkst!$C$18:$C$31,0))</f>
        <v>0</v>
      </c>
      <c r="J139" s="473">
        <f>+INDEX(ProposedLoansWkst!$F$18:$F$31,MATCH('Cash Flows'!J$6,ProposedLoansWkst!$C$18:$C$31,0))</f>
        <v>0</v>
      </c>
      <c r="K139" s="473">
        <f>+INDEX(ProposedLoansWkst!$F$18:$F$31,MATCH('Cash Flows'!K$6,ProposedLoansWkst!$C$18:$C$31,0))</f>
        <v>0</v>
      </c>
      <c r="L139" s="473">
        <f>+INDEX(ProposedLoansWkst!$F$18:$F$31,MATCH('Cash Flows'!L$6,ProposedLoansWkst!$C$18:$C$31,0))</f>
        <v>0</v>
      </c>
      <c r="M139" s="473">
        <f>+INDEX(ProposedLoansWkst!$F$18:$F$31,MATCH('Cash Flows'!M$6,ProposedLoansWkst!$C$18:$C$31,0))</f>
        <v>0</v>
      </c>
      <c r="N139" s="473">
        <f>+INDEX(ProposedLoansWkst!$F$18:$F$31,MATCH('Cash Flows'!N$6,ProposedLoansWkst!$C$18:$C$31,0))</f>
        <v>0</v>
      </c>
      <c r="O139" s="473">
        <f>+INDEX(ProposedLoansWkst!$F$18:$F$31,MATCH('Cash Flows'!O$6,ProposedLoansWkst!$C$18:$C$31,0))</f>
        <v>0</v>
      </c>
      <c r="P139" s="473">
        <f>+INDEX(ProposedLoansWkst!$F$18:$F$31,MATCH('Cash Flows'!P$6,ProposedLoansWkst!$C$18:$C$31,0))</f>
        <v>0</v>
      </c>
      <c r="Q139" s="474">
        <f>+INDEX(ProposedLoansWkst!$F$18:$F$31,MATCH('Cash Flows'!Q$6,ProposedLoansWkst!$C$18:$C$31,0))</f>
        <v>0</v>
      </c>
      <c r="T139" s="416"/>
    </row>
    <row r="140" spans="1:20" ht="12" customHeight="1" thickBot="1" x14ac:dyDescent="0.25">
      <c r="A140" s="56"/>
      <c r="B140" s="678" t="s">
        <v>815</v>
      </c>
      <c r="C140" s="678"/>
      <c r="D140" s="1082">
        <f>-ACFDMPrinTot-ACFDMFCIntTot+ACFDMNewCredTot</f>
        <v>0</v>
      </c>
      <c r="E140" s="1083">
        <f>IF(E103&lt;&gt;0,SUM(F140:Q140),0)</f>
        <v>0</v>
      </c>
      <c r="F140" s="679">
        <f>-MCFDMPrinInput-MCFDMFCIntInput+MCFDMNewCredInput</f>
        <v>0</v>
      </c>
      <c r="G140" s="680">
        <f>-G137-G138+G139</f>
        <v>0</v>
      </c>
      <c r="H140" s="680">
        <f t="shared" ref="H140:Q140" si="21">-H137-H138+H139</f>
        <v>0</v>
      </c>
      <c r="I140" s="680">
        <f t="shared" si="21"/>
        <v>0</v>
      </c>
      <c r="J140" s="680">
        <f t="shared" si="21"/>
        <v>0</v>
      </c>
      <c r="K140" s="680">
        <f t="shared" si="21"/>
        <v>0</v>
      </c>
      <c r="L140" s="680">
        <f t="shared" si="21"/>
        <v>0</v>
      </c>
      <c r="M140" s="680">
        <f t="shared" si="21"/>
        <v>0</v>
      </c>
      <c r="N140" s="680">
        <f t="shared" si="21"/>
        <v>0</v>
      </c>
      <c r="O140" s="680">
        <f t="shared" si="21"/>
        <v>0</v>
      </c>
      <c r="P140" s="680">
        <f t="shared" si="21"/>
        <v>0</v>
      </c>
      <c r="Q140" s="1084">
        <f t="shared" si="21"/>
        <v>0</v>
      </c>
      <c r="T140" s="416"/>
    </row>
    <row r="141" spans="1:20" ht="3.75" customHeight="1" x14ac:dyDescent="0.2">
      <c r="A141" s="56"/>
      <c r="B141" s="238"/>
      <c r="C141" s="10"/>
      <c r="D141" s="382"/>
      <c r="E141" s="513"/>
      <c r="F141" s="353"/>
      <c r="G141" s="364"/>
      <c r="H141" s="364"/>
      <c r="I141" s="364"/>
      <c r="J141" s="364"/>
      <c r="K141" s="364"/>
      <c r="L141" s="364"/>
      <c r="M141" s="364"/>
      <c r="N141" s="364"/>
      <c r="O141" s="364"/>
      <c r="P141" s="364"/>
      <c r="Q141" s="337"/>
      <c r="T141" s="416"/>
    </row>
    <row r="142" spans="1:20" ht="12" customHeight="1" thickBot="1" x14ac:dyDescent="0.25">
      <c r="A142" s="56"/>
      <c r="B142" s="1091" t="s">
        <v>121</v>
      </c>
      <c r="C142" s="1091"/>
      <c r="D142" s="1093">
        <f t="shared" ref="D142:Q142" si="22">IF(HowSell="Direct to Processor",0,D103-D127+D133+D140)</f>
        <v>0</v>
      </c>
      <c r="E142" s="1095">
        <f t="shared" si="22"/>
        <v>0</v>
      </c>
      <c r="F142" s="1094">
        <f t="shared" si="22"/>
        <v>0</v>
      </c>
      <c r="G142" s="1092">
        <f t="shared" si="22"/>
        <v>0</v>
      </c>
      <c r="H142" s="1092">
        <f t="shared" si="22"/>
        <v>0</v>
      </c>
      <c r="I142" s="1092">
        <f t="shared" si="22"/>
        <v>0</v>
      </c>
      <c r="J142" s="1092">
        <f t="shared" si="22"/>
        <v>0</v>
      </c>
      <c r="K142" s="1092">
        <f t="shared" si="22"/>
        <v>0</v>
      </c>
      <c r="L142" s="1092">
        <f t="shared" si="22"/>
        <v>0</v>
      </c>
      <c r="M142" s="1092">
        <f t="shared" si="22"/>
        <v>0</v>
      </c>
      <c r="N142" s="1092">
        <f t="shared" si="22"/>
        <v>0</v>
      </c>
      <c r="O142" s="1092">
        <f t="shared" si="22"/>
        <v>0</v>
      </c>
      <c r="P142" s="1092">
        <f t="shared" si="22"/>
        <v>0</v>
      </c>
      <c r="Q142" s="1095">
        <f t="shared" si="22"/>
        <v>0</v>
      </c>
      <c r="T142" s="416"/>
    </row>
    <row r="143" spans="1:20" ht="12.75" customHeight="1" x14ac:dyDescent="0.2">
      <c r="A143" s="56"/>
      <c r="B143" s="10"/>
      <c r="C143" s="10"/>
      <c r="D143" s="1096"/>
      <c r="E143" s="204"/>
      <c r="F143" s="333"/>
      <c r="G143" s="333"/>
      <c r="H143" s="333"/>
      <c r="I143" s="333"/>
      <c r="J143" s="333"/>
      <c r="K143" s="333"/>
      <c r="L143" s="333"/>
      <c r="M143" s="333"/>
      <c r="N143" s="333"/>
      <c r="O143" s="333"/>
      <c r="P143" s="333"/>
      <c r="Q143" s="333"/>
      <c r="T143" s="416"/>
    </row>
    <row r="144" spans="1:20" ht="12.75" customHeight="1" x14ac:dyDescent="0.2">
      <c r="A144" s="3" t="s">
        <v>430</v>
      </c>
      <c r="B144" s="463" t="s">
        <v>124</v>
      </c>
      <c r="C144" s="463"/>
      <c r="D144" s="1097"/>
      <c r="E144" s="203"/>
      <c r="F144" s="1088">
        <f>IF(HowSell="Direct to Processor",0,F142)</f>
        <v>0</v>
      </c>
      <c r="G144" s="1088">
        <f t="shared" ref="G144:Q144" si="23">IF(HowSell="direct to processor",0,F144+G142)</f>
        <v>0</v>
      </c>
      <c r="H144" s="1088">
        <f t="shared" si="23"/>
        <v>0</v>
      </c>
      <c r="I144" s="1088">
        <f t="shared" si="23"/>
        <v>0</v>
      </c>
      <c r="J144" s="1088">
        <f t="shared" si="23"/>
        <v>0</v>
      </c>
      <c r="K144" s="1088">
        <f t="shared" si="23"/>
        <v>0</v>
      </c>
      <c r="L144" s="1088">
        <f t="shared" si="23"/>
        <v>0</v>
      </c>
      <c r="M144" s="1088">
        <f t="shared" si="23"/>
        <v>0</v>
      </c>
      <c r="N144" s="1088">
        <f t="shared" si="23"/>
        <v>0</v>
      </c>
      <c r="O144" s="1088">
        <f t="shared" si="23"/>
        <v>0</v>
      </c>
      <c r="P144" s="1088">
        <f t="shared" si="23"/>
        <v>0</v>
      </c>
      <c r="Q144" s="1088">
        <f t="shared" si="23"/>
        <v>0</v>
      </c>
      <c r="T144" s="416"/>
    </row>
    <row r="145" spans="1:33" ht="12.75" customHeight="1" x14ac:dyDescent="0.2">
      <c r="A145" s="56"/>
      <c r="B145" s="13"/>
      <c r="C145" s="13"/>
      <c r="D145" s="326"/>
      <c r="E145" s="203"/>
      <c r="F145" s="333"/>
      <c r="G145" s="333"/>
      <c r="H145" s="334"/>
      <c r="I145" s="334"/>
      <c r="J145" s="334"/>
      <c r="K145" s="334"/>
      <c r="L145" s="334"/>
      <c r="M145" s="334"/>
      <c r="N145" s="334"/>
      <c r="O145" s="334"/>
      <c r="P145" s="334"/>
      <c r="Q145" s="334"/>
      <c r="T145" s="416"/>
    </row>
    <row r="146" spans="1:33" ht="12.75" customHeight="1" x14ac:dyDescent="0.2">
      <c r="A146" s="3" t="s">
        <v>430</v>
      </c>
      <c r="B146" s="1410" t="s">
        <v>505</v>
      </c>
      <c r="D146" s="205"/>
      <c r="E146" s="201"/>
      <c r="F146" s="333"/>
      <c r="G146" s="333"/>
      <c r="H146" s="333"/>
      <c r="I146" s="333"/>
      <c r="J146" s="333"/>
      <c r="K146" s="333"/>
      <c r="L146" s="333"/>
      <c r="M146" s="333"/>
      <c r="N146" s="333"/>
      <c r="O146" s="333"/>
      <c r="P146" s="333"/>
      <c r="Q146" s="333"/>
      <c r="T146" s="416"/>
    </row>
    <row r="147" spans="1:33" s="13" customFormat="1" ht="12.75" customHeight="1" x14ac:dyDescent="0.2">
      <c r="A147" s="56" t="s">
        <v>430</v>
      </c>
      <c r="B147" s="1410"/>
      <c r="C147" s="3"/>
      <c r="D147" s="205"/>
      <c r="E147" s="201"/>
      <c r="F147" s="333"/>
      <c r="G147" s="333"/>
      <c r="H147" s="333"/>
      <c r="I147" s="333"/>
      <c r="J147" s="333"/>
      <c r="K147" s="333"/>
      <c r="L147" s="333"/>
      <c r="M147" s="333"/>
      <c r="N147" s="333"/>
      <c r="O147" s="333"/>
      <c r="P147" s="333"/>
      <c r="Q147" s="333"/>
      <c r="T147" s="416"/>
      <c r="U147" s="1253"/>
      <c r="V147" s="1253"/>
      <c r="W147" s="1253"/>
      <c r="X147" s="1253"/>
      <c r="Y147" s="1253"/>
      <c r="Z147" s="1253"/>
      <c r="AA147" s="1253"/>
      <c r="AB147" s="1253"/>
      <c r="AC147" s="1253"/>
      <c r="AD147" s="1253"/>
      <c r="AE147" s="1253"/>
    </row>
    <row r="148" spans="1:33" ht="12.75" customHeight="1" thickBot="1" x14ac:dyDescent="0.25">
      <c r="A148" s="3" t="s">
        <v>431</v>
      </c>
      <c r="B148" s="1411"/>
      <c r="D148" s="205"/>
      <c r="E148" s="203"/>
      <c r="F148" s="333"/>
      <c r="G148" s="333"/>
      <c r="H148" s="334"/>
      <c r="I148" s="334"/>
      <c r="J148" s="334"/>
      <c r="K148" s="334"/>
      <c r="L148" s="334"/>
      <c r="M148" s="334"/>
      <c r="N148" s="334"/>
      <c r="O148" s="334"/>
      <c r="P148" s="334"/>
      <c r="Q148" s="334"/>
      <c r="T148" s="416"/>
    </row>
    <row r="149" spans="1:33" ht="12.75" customHeight="1" x14ac:dyDescent="0.2">
      <c r="B149" s="250" t="s">
        <v>133</v>
      </c>
      <c r="C149" s="251"/>
      <c r="D149" s="383"/>
      <c r="E149" s="520" t="s">
        <v>15</v>
      </c>
      <c r="F149" s="387" t="s">
        <v>4</v>
      </c>
      <c r="G149" s="388" t="s">
        <v>5</v>
      </c>
      <c r="H149" s="388" t="s">
        <v>6</v>
      </c>
      <c r="I149" s="388" t="s">
        <v>7</v>
      </c>
      <c r="J149" s="388" t="s">
        <v>3</v>
      </c>
      <c r="K149" s="388" t="s">
        <v>8</v>
      </c>
      <c r="L149" s="388" t="s">
        <v>9</v>
      </c>
      <c r="M149" s="388" t="s">
        <v>10</v>
      </c>
      <c r="N149" s="388" t="s">
        <v>11</v>
      </c>
      <c r="O149" s="388" t="s">
        <v>12</v>
      </c>
      <c r="P149" s="388" t="s">
        <v>13</v>
      </c>
      <c r="Q149" s="343" t="s">
        <v>14</v>
      </c>
      <c r="T149" s="416"/>
    </row>
    <row r="150" spans="1:33" ht="12.75" customHeight="1" x14ac:dyDescent="0.2">
      <c r="B150" s="240" t="s">
        <v>134</v>
      </c>
      <c r="C150" s="13"/>
      <c r="D150" s="380"/>
      <c r="E150" s="499"/>
      <c r="F150" s="397"/>
      <c r="G150" s="400"/>
      <c r="H150" s="404"/>
      <c r="I150" s="404"/>
      <c r="J150" s="404"/>
      <c r="K150" s="404"/>
      <c r="L150" s="404"/>
      <c r="M150" s="404"/>
      <c r="N150" s="404"/>
      <c r="O150" s="404"/>
      <c r="P150" s="404"/>
      <c r="Q150" s="342"/>
      <c r="T150" s="416"/>
    </row>
    <row r="151" spans="1:33" ht="12.75" customHeight="1" x14ac:dyDescent="0.2">
      <c r="B151" s="245" t="s">
        <v>16</v>
      </c>
      <c r="C151" s="152"/>
      <c r="D151" s="1038">
        <f>schFPersonalIncome</f>
        <v>0</v>
      </c>
      <c r="E151" s="500">
        <f t="shared" ref="E151:E157" si="24">SUM(F151:Q151)</f>
        <v>0</v>
      </c>
      <c r="F151" s="350"/>
      <c r="G151" s="361"/>
      <c r="H151" s="361"/>
      <c r="I151" s="361"/>
      <c r="J151" s="361"/>
      <c r="K151" s="361"/>
      <c r="L151" s="361"/>
      <c r="M151" s="361"/>
      <c r="N151" s="361"/>
      <c r="O151" s="361"/>
      <c r="P151" s="361"/>
      <c r="Q151" s="330"/>
    </row>
    <row r="152" spans="1:33" s="44" customFormat="1" x14ac:dyDescent="0.2">
      <c r="B152" s="243" t="s">
        <v>131</v>
      </c>
      <c r="C152" s="153"/>
      <c r="D152" s="374">
        <v>0</v>
      </c>
      <c r="E152" s="501">
        <f t="shared" si="24"/>
        <v>0</v>
      </c>
      <c r="F152" s="351"/>
      <c r="G152" s="362"/>
      <c r="H152" s="362"/>
      <c r="I152" s="362"/>
      <c r="J152" s="362"/>
      <c r="K152" s="362"/>
      <c r="L152" s="362"/>
      <c r="M152" s="362"/>
      <c r="N152" s="362"/>
      <c r="O152" s="362"/>
      <c r="P152" s="362"/>
      <c r="Q152" s="331"/>
      <c r="T152" s="1252"/>
      <c r="U152" s="1252"/>
      <c r="V152" s="1252"/>
      <c r="W152" s="1252"/>
      <c r="X152" s="1252"/>
      <c r="Y152" s="1252"/>
      <c r="Z152" s="1252"/>
      <c r="AA152" s="1252"/>
      <c r="AB152" s="1252"/>
      <c r="AC152" s="1252"/>
      <c r="AD152" s="1252"/>
      <c r="AE152" s="1252"/>
    </row>
    <row r="153" spans="1:33" ht="12" customHeight="1" x14ac:dyDescent="0.2">
      <c r="B153" s="241" t="s">
        <v>130</v>
      </c>
      <c r="C153" s="157"/>
      <c r="D153" s="373">
        <f>schFPAssStockSale+schFPAssBusInvSale+schFPAssRESale</f>
        <v>0</v>
      </c>
      <c r="E153" s="501">
        <f t="shared" si="24"/>
        <v>0</v>
      </c>
      <c r="F153" s="351"/>
      <c r="G153" s="362"/>
      <c r="H153" s="362"/>
      <c r="I153" s="362"/>
      <c r="J153" s="362"/>
      <c r="K153" s="362"/>
      <c r="L153" s="362"/>
      <c r="M153" s="362"/>
      <c r="N153" s="362"/>
      <c r="O153" s="362"/>
      <c r="P153" s="362"/>
      <c r="Q153" s="331"/>
    </row>
    <row r="154" spans="1:33" x14ac:dyDescent="0.2">
      <c r="B154" s="241" t="s">
        <v>212</v>
      </c>
      <c r="C154" s="157"/>
      <c r="D154" s="373">
        <v>0</v>
      </c>
      <c r="E154" s="501">
        <f t="shared" si="24"/>
        <v>0</v>
      </c>
      <c r="F154" s="475">
        <f>(INDEX(ProposedLoansWkst!$F$50:$F$63,MATCH('Cash Flows'!F$6,ProposedLoansWkst!$C$50:$C$63,0)))</f>
        <v>0</v>
      </c>
      <c r="G154" s="476">
        <f>(INDEX(ProposedLoansWkst!$F$50:$F$63,MATCH('Cash Flows'!G$6,ProposedLoansWkst!$C$50:$C$63,0)))</f>
        <v>0</v>
      </c>
      <c r="H154" s="476">
        <f>(INDEX(ProposedLoansWkst!$F$50:$F$63,MATCH('Cash Flows'!H$6,ProposedLoansWkst!$C$50:$C$63,0)))</f>
        <v>0</v>
      </c>
      <c r="I154" s="476">
        <f>(INDEX(ProposedLoansWkst!$F$50:$F$63,MATCH('Cash Flows'!I$6,ProposedLoansWkst!$C$50:$C$63,0)))</f>
        <v>0</v>
      </c>
      <c r="J154" s="476">
        <f>(INDEX(ProposedLoansWkst!$F$50:$F$63,MATCH('Cash Flows'!J$6,ProposedLoansWkst!$C$50:$C$63,0)))</f>
        <v>0</v>
      </c>
      <c r="K154" s="476">
        <f>(INDEX(ProposedLoansWkst!$F$50:$F$63,MATCH('Cash Flows'!K$6,ProposedLoansWkst!$C$50:$C$63,0)))</f>
        <v>0</v>
      </c>
      <c r="L154" s="476">
        <f>(INDEX(ProposedLoansWkst!$F$50:$F$63,MATCH('Cash Flows'!L$6,ProposedLoansWkst!$C$50:$C$63,0)))</f>
        <v>0</v>
      </c>
      <c r="M154" s="476">
        <f>(INDEX(ProposedLoansWkst!$F$50:$F$63,MATCH('Cash Flows'!M$6,ProposedLoansWkst!$C$50:$C$63,0)))</f>
        <v>0</v>
      </c>
      <c r="N154" s="476">
        <f>(INDEX(ProposedLoansWkst!$F$50:$F$63,MATCH('Cash Flows'!N$6,ProposedLoansWkst!$C$50:$C$63,0)))</f>
        <v>0</v>
      </c>
      <c r="O154" s="476">
        <f>(INDEX(ProposedLoansWkst!$F$50:$F$63,MATCH('Cash Flows'!O$6,ProposedLoansWkst!$C$50:$C$63,0)))</f>
        <v>0</v>
      </c>
      <c r="P154" s="476">
        <f>(INDEX(ProposedLoansWkst!$F$50:$F$63,MATCH('Cash Flows'!P$6,ProposedLoansWkst!$C$50:$C$63,0)))</f>
        <v>0</v>
      </c>
      <c r="Q154" s="477">
        <f>(INDEX(ProposedLoansWkst!$F$50:$F$63,MATCH('Cash Flows'!Q$6,ProposedLoansWkst!$C$50:$C$63,0)))</f>
        <v>0</v>
      </c>
    </row>
    <row r="155" spans="1:33" x14ac:dyDescent="0.2">
      <c r="B155" s="241" t="s">
        <v>213</v>
      </c>
      <c r="C155" s="157"/>
      <c r="D155" s="373">
        <v>0</v>
      </c>
      <c r="E155" s="501">
        <f t="shared" si="24"/>
        <v>0</v>
      </c>
      <c r="F155" s="475">
        <f>INDEX(ProposedLoansWkst!$F$34:$F$47,MATCH('Cash Flows'!F$6,ProposedLoansWkst!$C$34:$C$47,0))</f>
        <v>0</v>
      </c>
      <c r="G155" s="476">
        <f>INDEX(ProposedLoansWkst!$F$34:$F$47,MATCH('Cash Flows'!G$6,ProposedLoansWkst!$C$34:$C$47,0))</f>
        <v>0</v>
      </c>
      <c r="H155" s="476">
        <f>INDEX(ProposedLoansWkst!$F$34:$F$47,MATCH('Cash Flows'!H$6,ProposedLoansWkst!$C$34:$C$47,0))</f>
        <v>0</v>
      </c>
      <c r="I155" s="476">
        <f>INDEX(ProposedLoansWkst!$F$34:$F$47,MATCH('Cash Flows'!I$6,ProposedLoansWkst!$C$34:$C$47,0))</f>
        <v>0</v>
      </c>
      <c r="J155" s="476">
        <f>INDEX(ProposedLoansWkst!$F$34:$F$47,MATCH('Cash Flows'!J$6,ProposedLoansWkst!$C$34:$C$47,0))</f>
        <v>0</v>
      </c>
      <c r="K155" s="476">
        <f>INDEX(ProposedLoansWkst!$F$34:$F$47,MATCH('Cash Flows'!K$6,ProposedLoansWkst!$C$34:$C$47,0))</f>
        <v>0</v>
      </c>
      <c r="L155" s="476">
        <f>INDEX(ProposedLoansWkst!$F$34:$F$47,MATCH('Cash Flows'!L$6,ProposedLoansWkst!$C$34:$C$47,0))</f>
        <v>0</v>
      </c>
      <c r="M155" s="476">
        <f>INDEX(ProposedLoansWkst!$F$34:$F$47,MATCH('Cash Flows'!M$6,ProposedLoansWkst!$C$34:$C$47,0))</f>
        <v>0</v>
      </c>
      <c r="N155" s="476">
        <f>INDEX(ProposedLoansWkst!$F$34:$F$47,MATCH('Cash Flows'!N$6,ProposedLoansWkst!$C$34:$C$47,0))</f>
        <v>0</v>
      </c>
      <c r="O155" s="476">
        <f>INDEX(ProposedLoansWkst!$F$34:$F$47,MATCH('Cash Flows'!O$6,ProposedLoansWkst!$C$34:$C$47,0))</f>
        <v>0</v>
      </c>
      <c r="P155" s="476">
        <f>INDEX(ProposedLoansWkst!$F$34:$F$47,MATCH('Cash Flows'!P$6,ProposedLoansWkst!$C$34:$C$47,0))</f>
        <v>0</v>
      </c>
      <c r="Q155" s="477">
        <f>INDEX(ProposedLoansWkst!$F$34:$F$47,MATCH('Cash Flows'!Q$6,ProposedLoansWkst!$C$34:$C$47,0))</f>
        <v>0</v>
      </c>
    </row>
    <row r="156" spans="1:33" x14ac:dyDescent="0.2">
      <c r="B156" s="241" t="s">
        <v>747</v>
      </c>
      <c r="C156" s="157"/>
      <c r="D156" s="1038">
        <f>schFInherit</f>
        <v>0</v>
      </c>
      <c r="E156" s="501">
        <f t="shared" si="24"/>
        <v>0</v>
      </c>
      <c r="F156" s="354"/>
      <c r="G156" s="365"/>
      <c r="H156" s="365"/>
      <c r="I156" s="365"/>
      <c r="J156" s="365"/>
      <c r="K156" s="365"/>
      <c r="L156" s="365"/>
      <c r="M156" s="365"/>
      <c r="N156" s="365"/>
      <c r="O156" s="365"/>
      <c r="P156" s="365"/>
      <c r="Q156" s="336"/>
    </row>
    <row r="157" spans="1:33" x14ac:dyDescent="0.2">
      <c r="B157" s="245" t="s">
        <v>0</v>
      </c>
      <c r="C157" s="152"/>
      <c r="D157" s="389">
        <f>schFPAssFurnishSale+schFPAssVehSale+schFPAssLifeInsSale+schFPAssRetireSale+schFPAssOtherSale</f>
        <v>0</v>
      </c>
      <c r="E157" s="501">
        <f t="shared" si="24"/>
        <v>0</v>
      </c>
      <c r="F157" s="1039" t="s">
        <v>761</v>
      </c>
      <c r="G157" s="362"/>
      <c r="H157" s="362"/>
      <c r="I157" s="362"/>
      <c r="J157" s="362"/>
      <c r="K157" s="362"/>
      <c r="L157" s="362"/>
      <c r="M157" s="362"/>
      <c r="N157" s="362"/>
      <c r="O157" s="362"/>
      <c r="P157" s="362"/>
      <c r="Q157" s="331"/>
    </row>
    <row r="158" spans="1:33" x14ac:dyDescent="0.2">
      <c r="B158" s="231" t="s">
        <v>140</v>
      </c>
      <c r="C158" s="159"/>
      <c r="D158" s="390">
        <f t="shared" ref="D158:Q158" si="25">SUM(D151:D157)</f>
        <v>0</v>
      </c>
      <c r="E158" s="510">
        <f t="shared" si="25"/>
        <v>0</v>
      </c>
      <c r="F158" s="352">
        <f t="shared" si="25"/>
        <v>0</v>
      </c>
      <c r="G158" s="363">
        <f t="shared" si="25"/>
        <v>0</v>
      </c>
      <c r="H158" s="363">
        <f t="shared" si="25"/>
        <v>0</v>
      </c>
      <c r="I158" s="363">
        <f t="shared" si="25"/>
        <v>0</v>
      </c>
      <c r="J158" s="363">
        <f t="shared" si="25"/>
        <v>0</v>
      </c>
      <c r="K158" s="363">
        <f t="shared" si="25"/>
        <v>0</v>
      </c>
      <c r="L158" s="363">
        <f t="shared" si="25"/>
        <v>0</v>
      </c>
      <c r="M158" s="363">
        <f t="shared" si="25"/>
        <v>0</v>
      </c>
      <c r="N158" s="363">
        <f t="shared" si="25"/>
        <v>0</v>
      </c>
      <c r="O158" s="363">
        <f t="shared" si="25"/>
        <v>0</v>
      </c>
      <c r="P158" s="363">
        <f t="shared" si="25"/>
        <v>0</v>
      </c>
      <c r="Q158" s="332">
        <f t="shared" si="25"/>
        <v>0</v>
      </c>
    </row>
    <row r="159" spans="1:33" ht="3.6" customHeight="1" x14ac:dyDescent="0.2">
      <c r="B159" s="225"/>
      <c r="D159" s="376"/>
      <c r="E159" s="499"/>
      <c r="F159" s="353"/>
      <c r="G159" s="364"/>
      <c r="H159" s="372"/>
      <c r="I159" s="372"/>
      <c r="J159" s="372"/>
      <c r="K159" s="372"/>
      <c r="L159" s="372"/>
      <c r="M159" s="372"/>
      <c r="N159" s="372"/>
      <c r="O159" s="372"/>
      <c r="P159" s="372"/>
      <c r="Q159" s="335"/>
      <c r="T159" s="1255">
        <f t="shared" ref="T159:AE159" si="26">F65+F189</f>
        <v>0</v>
      </c>
      <c r="U159" s="1255">
        <f t="shared" si="26"/>
        <v>0</v>
      </c>
      <c r="V159" s="1255">
        <f t="shared" si="26"/>
        <v>0</v>
      </c>
      <c r="W159" s="1255">
        <f t="shared" si="26"/>
        <v>0</v>
      </c>
      <c r="X159" s="1255">
        <f t="shared" si="26"/>
        <v>0</v>
      </c>
      <c r="Y159" s="1255">
        <f t="shared" si="26"/>
        <v>0</v>
      </c>
      <c r="Z159" s="1255">
        <f t="shared" si="26"/>
        <v>0</v>
      </c>
      <c r="AA159" s="1255">
        <f t="shared" si="26"/>
        <v>0</v>
      </c>
      <c r="AB159" s="1255">
        <f t="shared" si="26"/>
        <v>0</v>
      </c>
      <c r="AC159" s="1255">
        <f t="shared" si="26"/>
        <v>0</v>
      </c>
      <c r="AD159" s="1255">
        <f t="shared" si="26"/>
        <v>0</v>
      </c>
      <c r="AE159" s="1255">
        <f t="shared" si="26"/>
        <v>0</v>
      </c>
      <c r="AF159" s="1103"/>
      <c r="AG159" s="1103"/>
    </row>
    <row r="160" spans="1:33" x14ac:dyDescent="0.2">
      <c r="B160" s="240" t="s">
        <v>135</v>
      </c>
      <c r="C160" s="13"/>
      <c r="D160" s="380"/>
      <c r="E160" s="499"/>
      <c r="F160" s="353"/>
      <c r="G160" s="364"/>
      <c r="H160" s="372"/>
      <c r="I160" s="372"/>
      <c r="J160" s="372"/>
      <c r="K160" s="372"/>
      <c r="L160" s="372"/>
      <c r="M160" s="372"/>
      <c r="N160" s="372"/>
      <c r="O160" s="372"/>
      <c r="P160" s="372"/>
      <c r="Q160" s="335"/>
      <c r="T160" s="414">
        <v>67704</v>
      </c>
      <c r="U160" s="414">
        <v>228286</v>
      </c>
      <c r="V160" s="414">
        <v>22948</v>
      </c>
      <c r="W160" s="414">
        <v>100192</v>
      </c>
      <c r="X160" s="414">
        <v>27499</v>
      </c>
      <c r="Y160" s="414">
        <v>19224</v>
      </c>
      <c r="Z160" s="414">
        <v>19067</v>
      </c>
      <c r="AA160" s="414">
        <v>17177</v>
      </c>
      <c r="AB160" s="414">
        <v>48417</v>
      </c>
      <c r="AC160" s="414">
        <v>29541</v>
      </c>
      <c r="AD160" s="414">
        <v>19844</v>
      </c>
      <c r="AE160" s="414">
        <v>130732</v>
      </c>
    </row>
    <row r="161" spans="2:31" ht="12.75" customHeight="1" x14ac:dyDescent="0.2">
      <c r="B161" s="236" t="s">
        <v>142</v>
      </c>
      <c r="C161" s="46"/>
      <c r="D161" s="378">
        <v>0</v>
      </c>
      <c r="E161" s="500">
        <f t="shared" ref="E161:E187" si="27">SUM(F161:Q161)</f>
        <v>0</v>
      </c>
      <c r="F161" s="350"/>
      <c r="G161" s="361"/>
      <c r="H161" s="361"/>
      <c r="I161" s="361"/>
      <c r="J161" s="361"/>
      <c r="K161" s="361"/>
      <c r="L161" s="361"/>
      <c r="M161" s="361"/>
      <c r="N161" s="361"/>
      <c r="O161" s="361"/>
      <c r="P161" s="361"/>
      <c r="Q161" s="330"/>
      <c r="T161" s="1255">
        <f>T159-T160</f>
        <v>-67704</v>
      </c>
      <c r="U161" s="1255">
        <f t="shared" ref="U161:AE161" si="28">U159-U160</f>
        <v>-228286</v>
      </c>
      <c r="V161" s="1255">
        <f t="shared" si="28"/>
        <v>-22948</v>
      </c>
      <c r="W161" s="1255">
        <f t="shared" si="28"/>
        <v>-100192</v>
      </c>
      <c r="X161" s="1255">
        <f t="shared" si="28"/>
        <v>-27499</v>
      </c>
      <c r="Y161" s="1255">
        <f t="shared" si="28"/>
        <v>-19224</v>
      </c>
      <c r="Z161" s="1255">
        <f t="shared" si="28"/>
        <v>-19067</v>
      </c>
      <c r="AA161" s="1255">
        <f t="shared" si="28"/>
        <v>-17177</v>
      </c>
      <c r="AB161" s="1255">
        <f t="shared" si="28"/>
        <v>-48417</v>
      </c>
      <c r="AC161" s="1255">
        <f t="shared" si="28"/>
        <v>-29541</v>
      </c>
      <c r="AD161" s="1255">
        <f t="shared" si="28"/>
        <v>-19844</v>
      </c>
      <c r="AE161" s="1255">
        <f t="shared" si="28"/>
        <v>-130732</v>
      </c>
    </row>
    <row r="162" spans="2:31" ht="12.75" customHeight="1" x14ac:dyDescent="0.2">
      <c r="B162" s="236" t="s">
        <v>143</v>
      </c>
      <c r="C162" s="50"/>
      <c r="D162" s="391">
        <v>0</v>
      </c>
      <c r="E162" s="501">
        <f t="shared" si="27"/>
        <v>0</v>
      </c>
      <c r="F162" s="351"/>
      <c r="G162" s="362"/>
      <c r="H162" s="362"/>
      <c r="I162" s="362"/>
      <c r="J162" s="362"/>
      <c r="K162" s="362"/>
      <c r="L162" s="362"/>
      <c r="M162" s="362"/>
      <c r="N162" s="362"/>
      <c r="O162" s="362"/>
      <c r="P162" s="362"/>
      <c r="Q162" s="331"/>
    </row>
    <row r="163" spans="2:31" ht="12.75" customHeight="1" x14ac:dyDescent="0.2">
      <c r="B163" s="236" t="s">
        <v>144</v>
      </c>
      <c r="C163" s="50"/>
      <c r="D163" s="391">
        <v>0</v>
      </c>
      <c r="E163" s="501">
        <f t="shared" si="27"/>
        <v>0</v>
      </c>
      <c r="F163" s="351"/>
      <c r="G163" s="362"/>
      <c r="H163" s="362"/>
      <c r="I163" s="362"/>
      <c r="J163" s="362"/>
      <c r="K163" s="362"/>
      <c r="L163" s="362"/>
      <c r="M163" s="362"/>
      <c r="N163" s="362"/>
      <c r="O163" s="362"/>
      <c r="P163" s="362"/>
      <c r="Q163" s="331"/>
    </row>
    <row r="164" spans="2:31" x14ac:dyDescent="0.2">
      <c r="B164" s="236" t="s">
        <v>139</v>
      </c>
      <c r="C164" s="50"/>
      <c r="D164" s="391">
        <v>0</v>
      </c>
      <c r="E164" s="501">
        <f t="shared" si="27"/>
        <v>0</v>
      </c>
      <c r="F164" s="351"/>
      <c r="G164" s="362"/>
      <c r="H164" s="362"/>
      <c r="I164" s="362"/>
      <c r="J164" s="362"/>
      <c r="K164" s="362"/>
      <c r="L164" s="362"/>
      <c r="M164" s="362"/>
      <c r="N164" s="362"/>
      <c r="O164" s="362"/>
      <c r="P164" s="362"/>
      <c r="Q164" s="331"/>
      <c r="T164" s="1255">
        <f>F82+F83</f>
        <v>0</v>
      </c>
      <c r="U164" s="1255">
        <f t="shared" ref="U164:AE164" si="29">G82+G83</f>
        <v>0</v>
      </c>
      <c r="V164" s="1255">
        <f t="shared" si="29"/>
        <v>0</v>
      </c>
      <c r="W164" s="1255">
        <f t="shared" si="29"/>
        <v>0</v>
      </c>
      <c r="X164" s="1255">
        <f t="shared" si="29"/>
        <v>0</v>
      </c>
      <c r="Y164" s="1255">
        <f t="shared" si="29"/>
        <v>0</v>
      </c>
      <c r="Z164" s="1255">
        <f t="shared" si="29"/>
        <v>0</v>
      </c>
      <c r="AA164" s="1255">
        <f t="shared" si="29"/>
        <v>0</v>
      </c>
      <c r="AB164" s="1255">
        <f t="shared" si="29"/>
        <v>0</v>
      </c>
      <c r="AC164" s="1255">
        <f t="shared" si="29"/>
        <v>0</v>
      </c>
      <c r="AD164" s="1255">
        <f t="shared" si="29"/>
        <v>0</v>
      </c>
      <c r="AE164" s="1255">
        <f t="shared" si="29"/>
        <v>0</v>
      </c>
    </row>
    <row r="165" spans="2:31" x14ac:dyDescent="0.2">
      <c r="B165" s="236" t="s">
        <v>153</v>
      </c>
      <c r="C165" s="50"/>
      <c r="D165" s="391">
        <v>0</v>
      </c>
      <c r="E165" s="501">
        <f t="shared" si="27"/>
        <v>0</v>
      </c>
      <c r="F165" s="351"/>
      <c r="G165" s="362"/>
      <c r="H165" s="362"/>
      <c r="I165" s="362"/>
      <c r="J165" s="362"/>
      <c r="K165" s="362"/>
      <c r="L165" s="362"/>
      <c r="M165" s="362"/>
      <c r="N165" s="362"/>
      <c r="O165" s="362"/>
      <c r="P165" s="362"/>
      <c r="Q165" s="331"/>
      <c r="T165" s="414">
        <v>570</v>
      </c>
      <c r="U165" s="414">
        <v>11661</v>
      </c>
      <c r="V165" s="414">
        <v>19088</v>
      </c>
      <c r="W165" s="414">
        <v>570</v>
      </c>
      <c r="X165" s="414">
        <v>570</v>
      </c>
      <c r="Y165" s="414">
        <v>5872</v>
      </c>
      <c r="Z165" s="414">
        <v>570</v>
      </c>
      <c r="AA165" s="414">
        <v>11661</v>
      </c>
      <c r="AB165" s="414">
        <v>19088</v>
      </c>
      <c r="AC165" s="414">
        <v>570</v>
      </c>
      <c r="AD165" s="414">
        <v>570</v>
      </c>
      <c r="AE165" s="414">
        <v>5872</v>
      </c>
    </row>
    <row r="166" spans="2:31" s="6" customFormat="1" x14ac:dyDescent="0.2">
      <c r="B166" s="236" t="s">
        <v>138</v>
      </c>
      <c r="C166" s="50"/>
      <c r="D166" s="1038">
        <f>schFGiftsGive</f>
        <v>0</v>
      </c>
      <c r="E166" s="501">
        <f t="shared" si="27"/>
        <v>0</v>
      </c>
      <c r="F166" s="351"/>
      <c r="G166" s="362"/>
      <c r="H166" s="362"/>
      <c r="I166" s="362"/>
      <c r="J166" s="362"/>
      <c r="K166" s="362"/>
      <c r="L166" s="362"/>
      <c r="M166" s="362"/>
      <c r="N166" s="362"/>
      <c r="O166" s="362"/>
      <c r="P166" s="362"/>
      <c r="Q166" s="331"/>
      <c r="T166" s="416">
        <f>T164-T165</f>
        <v>-570</v>
      </c>
      <c r="U166" s="416">
        <f t="shared" ref="U166:AE166" si="30">U164-U165</f>
        <v>-11661</v>
      </c>
      <c r="V166" s="416">
        <f t="shared" si="30"/>
        <v>-19088</v>
      </c>
      <c r="W166" s="416">
        <f t="shared" si="30"/>
        <v>-570</v>
      </c>
      <c r="X166" s="416">
        <f t="shared" si="30"/>
        <v>-570</v>
      </c>
      <c r="Y166" s="416">
        <f t="shared" si="30"/>
        <v>-5872</v>
      </c>
      <c r="Z166" s="416">
        <f t="shared" si="30"/>
        <v>-570</v>
      </c>
      <c r="AA166" s="416">
        <f t="shared" si="30"/>
        <v>-11661</v>
      </c>
      <c r="AB166" s="416">
        <f t="shared" si="30"/>
        <v>-19088</v>
      </c>
      <c r="AC166" s="416">
        <f t="shared" si="30"/>
        <v>-570</v>
      </c>
      <c r="AD166" s="416">
        <f t="shared" si="30"/>
        <v>-570</v>
      </c>
      <c r="AE166" s="416">
        <f t="shared" si="30"/>
        <v>-5872</v>
      </c>
    </row>
    <row r="167" spans="2:31" x14ac:dyDescent="0.2">
      <c r="B167" s="236" t="s">
        <v>145</v>
      </c>
      <c r="C167" s="50"/>
      <c r="D167" s="391">
        <v>0</v>
      </c>
      <c r="E167" s="501">
        <f t="shared" si="27"/>
        <v>0</v>
      </c>
      <c r="F167" s="351"/>
      <c r="G167" s="362"/>
      <c r="H167" s="362"/>
      <c r="I167" s="362"/>
      <c r="J167" s="362"/>
      <c r="K167" s="362"/>
      <c r="L167" s="362"/>
      <c r="M167" s="362"/>
      <c r="N167" s="362"/>
      <c r="O167" s="362"/>
      <c r="P167" s="362"/>
      <c r="Q167" s="331"/>
    </row>
    <row r="168" spans="2:31" x14ac:dyDescent="0.2">
      <c r="B168" s="236" t="s">
        <v>146</v>
      </c>
      <c r="C168" s="50"/>
      <c r="D168" s="391">
        <v>0</v>
      </c>
      <c r="E168" s="501">
        <f t="shared" si="27"/>
        <v>0</v>
      </c>
      <c r="F168" s="351"/>
      <c r="G168" s="362"/>
      <c r="H168" s="362"/>
      <c r="I168" s="362"/>
      <c r="J168" s="362"/>
      <c r="K168" s="362"/>
      <c r="L168" s="362"/>
      <c r="M168" s="362"/>
      <c r="N168" s="362"/>
      <c r="O168" s="362"/>
      <c r="P168" s="362"/>
      <c r="Q168" s="331"/>
    </row>
    <row r="169" spans="2:31" x14ac:dyDescent="0.2">
      <c r="B169" s="236" t="s">
        <v>147</v>
      </c>
      <c r="C169" s="50"/>
      <c r="D169" s="391">
        <v>0</v>
      </c>
      <c r="E169" s="501">
        <f t="shared" si="27"/>
        <v>0</v>
      </c>
      <c r="F169" s="351"/>
      <c r="G169" s="362"/>
      <c r="H169" s="362"/>
      <c r="I169" s="362"/>
      <c r="J169" s="362"/>
      <c r="K169" s="362"/>
      <c r="L169" s="362"/>
      <c r="M169" s="362"/>
      <c r="N169" s="362"/>
      <c r="O169" s="362"/>
      <c r="P169" s="362"/>
      <c r="Q169" s="331"/>
    </row>
    <row r="170" spans="2:31" x14ac:dyDescent="0.2">
      <c r="B170" s="236" t="s">
        <v>148</v>
      </c>
      <c r="C170" s="50"/>
      <c r="D170" s="391">
        <v>0</v>
      </c>
      <c r="E170" s="501">
        <f t="shared" si="27"/>
        <v>0</v>
      </c>
      <c r="F170" s="351"/>
      <c r="G170" s="362"/>
      <c r="H170" s="362"/>
      <c r="I170" s="362"/>
      <c r="J170" s="362"/>
      <c r="K170" s="362"/>
      <c r="L170" s="362"/>
      <c r="M170" s="362"/>
      <c r="N170" s="362"/>
      <c r="O170" s="362"/>
      <c r="P170" s="362"/>
      <c r="Q170" s="331"/>
    </row>
    <row r="171" spans="2:31" x14ac:dyDescent="0.2">
      <c r="B171" s="234" t="s">
        <v>2</v>
      </c>
      <c r="C171" s="50"/>
      <c r="D171" s="391">
        <v>0</v>
      </c>
      <c r="E171" s="501">
        <f t="shared" si="27"/>
        <v>0</v>
      </c>
      <c r="F171" s="351"/>
      <c r="G171" s="362"/>
      <c r="H171" s="362"/>
      <c r="I171" s="362"/>
      <c r="J171" s="362"/>
      <c r="K171" s="362"/>
      <c r="L171" s="362"/>
      <c r="M171" s="362"/>
      <c r="N171" s="362"/>
      <c r="O171" s="362"/>
      <c r="P171" s="362"/>
      <c r="Q171" s="331"/>
    </row>
    <row r="172" spans="2:31" x14ac:dyDescent="0.2">
      <c r="B172" s="236" t="s">
        <v>136</v>
      </c>
      <c r="C172" s="50"/>
      <c r="D172" s="391">
        <v>0</v>
      </c>
      <c r="E172" s="501">
        <f t="shared" si="27"/>
        <v>0</v>
      </c>
      <c r="F172" s="351"/>
      <c r="G172" s="362"/>
      <c r="H172" s="362"/>
      <c r="I172" s="362"/>
      <c r="J172" s="362"/>
      <c r="K172" s="362"/>
      <c r="L172" s="362"/>
      <c r="M172" s="362"/>
      <c r="N172" s="362"/>
      <c r="O172" s="362"/>
      <c r="P172" s="362"/>
      <c r="Q172" s="331"/>
    </row>
    <row r="173" spans="2:31" x14ac:dyDescent="0.2">
      <c r="B173" s="236" t="s">
        <v>149</v>
      </c>
      <c r="C173" s="50"/>
      <c r="D173" s="391">
        <v>0</v>
      </c>
      <c r="E173" s="501">
        <f t="shared" si="27"/>
        <v>0</v>
      </c>
      <c r="F173" s="351"/>
      <c r="G173" s="362"/>
      <c r="H173" s="362"/>
      <c r="I173" s="362"/>
      <c r="J173" s="362"/>
      <c r="K173" s="362"/>
      <c r="L173" s="362"/>
      <c r="M173" s="362"/>
      <c r="N173" s="362"/>
      <c r="O173" s="362"/>
      <c r="P173" s="362"/>
      <c r="Q173" s="331"/>
    </row>
    <row r="174" spans="2:31" x14ac:dyDescent="0.2">
      <c r="B174" s="236" t="s">
        <v>46</v>
      </c>
      <c r="C174" s="50"/>
      <c r="D174" s="391">
        <v>0</v>
      </c>
      <c r="E174" s="501">
        <f t="shared" si="27"/>
        <v>0</v>
      </c>
      <c r="F174" s="351"/>
      <c r="G174" s="362"/>
      <c r="H174" s="362"/>
      <c r="I174" s="362"/>
      <c r="J174" s="362"/>
      <c r="K174" s="362"/>
      <c r="L174" s="362"/>
      <c r="M174" s="362"/>
      <c r="N174" s="362"/>
      <c r="O174" s="362"/>
      <c r="P174" s="362"/>
      <c r="Q174" s="331"/>
    </row>
    <row r="175" spans="2:31" x14ac:dyDescent="0.2">
      <c r="B175" s="236" t="s">
        <v>150</v>
      </c>
      <c r="C175" s="46"/>
      <c r="D175" s="378">
        <v>0</v>
      </c>
      <c r="E175" s="501">
        <f t="shared" si="27"/>
        <v>0</v>
      </c>
      <c r="F175" s="351"/>
      <c r="G175" s="362"/>
      <c r="H175" s="362"/>
      <c r="I175" s="362"/>
      <c r="J175" s="362"/>
      <c r="K175" s="362"/>
      <c r="L175" s="362"/>
      <c r="M175" s="362"/>
      <c r="N175" s="362"/>
      <c r="O175" s="362"/>
      <c r="P175" s="362"/>
      <c r="Q175" s="331"/>
    </row>
    <row r="176" spans="2:31" x14ac:dyDescent="0.2">
      <c r="B176" s="246" t="s">
        <v>49</v>
      </c>
      <c r="C176" s="50"/>
      <c r="D176" s="391">
        <v>0</v>
      </c>
      <c r="E176" s="501">
        <f t="shared" si="27"/>
        <v>0</v>
      </c>
      <c r="F176" s="351"/>
      <c r="G176" s="362"/>
      <c r="H176" s="362"/>
      <c r="I176" s="362"/>
      <c r="J176" s="362"/>
      <c r="K176" s="362"/>
      <c r="L176" s="362"/>
      <c r="M176" s="362"/>
      <c r="N176" s="362"/>
      <c r="O176" s="362"/>
      <c r="P176" s="362"/>
      <c r="Q176" s="331"/>
    </row>
    <row r="177" spans="2:17" x14ac:dyDescent="0.2">
      <c r="B177" s="236" t="s">
        <v>199</v>
      </c>
      <c r="C177" s="50"/>
      <c r="D177" s="391">
        <v>0</v>
      </c>
      <c r="E177" s="501">
        <f t="shared" si="27"/>
        <v>0</v>
      </c>
      <c r="F177" s="351"/>
      <c r="G177" s="362"/>
      <c r="H177" s="362"/>
      <c r="I177" s="362"/>
      <c r="J177" s="362"/>
      <c r="K177" s="362"/>
      <c r="L177" s="362"/>
      <c r="M177" s="362"/>
      <c r="N177" s="362"/>
      <c r="O177" s="362"/>
      <c r="P177" s="362"/>
      <c r="Q177" s="331"/>
    </row>
    <row r="178" spans="2:17" x14ac:dyDescent="0.2">
      <c r="B178" s="236" t="s">
        <v>137</v>
      </c>
      <c r="C178" s="50"/>
      <c r="D178" s="391">
        <v>0</v>
      </c>
      <c r="E178" s="501">
        <f t="shared" si="27"/>
        <v>0</v>
      </c>
      <c r="F178" s="351"/>
      <c r="G178" s="362"/>
      <c r="H178" s="362"/>
      <c r="I178" s="362"/>
      <c r="J178" s="362"/>
      <c r="K178" s="362"/>
      <c r="L178" s="362"/>
      <c r="M178" s="362"/>
      <c r="N178" s="362"/>
      <c r="O178" s="362"/>
      <c r="P178" s="362"/>
      <c r="Q178" s="331"/>
    </row>
    <row r="179" spans="2:17" x14ac:dyDescent="0.2">
      <c r="B179" s="236" t="s">
        <v>151</v>
      </c>
      <c r="C179" s="50"/>
      <c r="D179" s="391">
        <v>0</v>
      </c>
      <c r="E179" s="501">
        <f t="shared" si="27"/>
        <v>0</v>
      </c>
      <c r="F179" s="351"/>
      <c r="G179" s="362"/>
      <c r="H179" s="362"/>
      <c r="I179" s="362"/>
      <c r="J179" s="362"/>
      <c r="K179" s="362"/>
      <c r="L179" s="362"/>
      <c r="M179" s="362"/>
      <c r="N179" s="362"/>
      <c r="O179" s="362"/>
      <c r="P179" s="362"/>
      <c r="Q179" s="331"/>
    </row>
    <row r="180" spans="2:17" x14ac:dyDescent="0.2">
      <c r="B180" s="236" t="s">
        <v>152</v>
      </c>
      <c r="C180" s="46"/>
      <c r="D180" s="1038">
        <f>schFTaxes</f>
        <v>0</v>
      </c>
      <c r="E180" s="501">
        <f t="shared" si="27"/>
        <v>0</v>
      </c>
      <c r="F180" s="351"/>
      <c r="G180" s="362"/>
      <c r="H180" s="362"/>
      <c r="I180" s="362"/>
      <c r="J180" s="362"/>
      <c r="K180" s="362"/>
      <c r="L180" s="362"/>
      <c r="M180" s="362"/>
      <c r="N180" s="362"/>
      <c r="O180" s="362"/>
      <c r="P180" s="362"/>
      <c r="Q180" s="331"/>
    </row>
    <row r="181" spans="2:17" x14ac:dyDescent="0.2">
      <c r="B181" s="236" t="s">
        <v>200</v>
      </c>
      <c r="C181" s="46"/>
      <c r="D181" s="378">
        <v>0</v>
      </c>
      <c r="E181" s="501">
        <f>IF(E21&lt;&gt;0,SUM(F181:Q181),0)</f>
        <v>0</v>
      </c>
      <c r="F181" s="475">
        <f>INDEX('Loans to Cash Flows Wkst'!$D$51:$D$64,MATCH('Cash Flows'!F$6,'Loans to Cash Flows Wkst'!$C$51:$C$64,0))+(INDEX(ProposedLoansWkst!$D$50:$D$63,MATCH('Cash Flows'!F$6,ProposedLoansWkst!$C$50:$C$63,0)))</f>
        <v>0</v>
      </c>
      <c r="G181" s="476">
        <f>INDEX('Loans to Cash Flows Wkst'!$D$51:$D$64,MATCH('Cash Flows'!G$6,'Loans to Cash Flows Wkst'!$C$51:$C$64,0))+(INDEX(ProposedLoansWkst!$D$50:$D$63,MATCH('Cash Flows'!G$6,ProposedLoansWkst!$C$50:$C$63,0)))</f>
        <v>0</v>
      </c>
      <c r="H181" s="476">
        <f>INDEX('Loans to Cash Flows Wkst'!$D$51:$D$64,MATCH('Cash Flows'!H$6,'Loans to Cash Flows Wkst'!$C$51:$C$64,0))+(INDEX(ProposedLoansWkst!$D$50:$D$63,MATCH('Cash Flows'!H$6,ProposedLoansWkst!$C$50:$C$63,0)))</f>
        <v>0</v>
      </c>
      <c r="I181" s="476">
        <f>INDEX('Loans to Cash Flows Wkst'!$D$51:$D$64,MATCH('Cash Flows'!I$6,'Loans to Cash Flows Wkst'!$C$51:$C$64,0))+(INDEX(ProposedLoansWkst!$D$50:$D$63,MATCH('Cash Flows'!I$6,ProposedLoansWkst!$C$50:$C$63,0)))</f>
        <v>0</v>
      </c>
      <c r="J181" s="476">
        <f>INDEX('Loans to Cash Flows Wkst'!$D$51:$D$64,MATCH('Cash Flows'!J$6,'Loans to Cash Flows Wkst'!$C$51:$C$64,0))+(INDEX(ProposedLoansWkst!$D$50:$D$63,MATCH('Cash Flows'!J$6,ProposedLoansWkst!$C$50:$C$63,0)))</f>
        <v>0</v>
      </c>
      <c r="K181" s="476">
        <f>INDEX('Loans to Cash Flows Wkst'!$D$51:$D$64,MATCH('Cash Flows'!K$6,'Loans to Cash Flows Wkst'!$C$51:$C$64,0))+(INDEX(ProposedLoansWkst!$D$50:$D$63,MATCH('Cash Flows'!K$6,ProposedLoansWkst!$C$50:$C$63,0)))</f>
        <v>0</v>
      </c>
      <c r="L181" s="476">
        <f>INDEX('Loans to Cash Flows Wkst'!$D$51:$D$64,MATCH('Cash Flows'!L$6,'Loans to Cash Flows Wkst'!$C$51:$C$64,0))+(INDEX(ProposedLoansWkst!$D$50:$D$63,MATCH('Cash Flows'!L$6,ProposedLoansWkst!$C$50:$C$63,0)))</f>
        <v>0</v>
      </c>
      <c r="M181" s="476">
        <f>INDEX('Loans to Cash Flows Wkst'!$D$51:$D$64,MATCH('Cash Flows'!M$6,'Loans to Cash Flows Wkst'!$C$51:$C$64,0))+(INDEX(ProposedLoansWkst!$D$50:$D$63,MATCH('Cash Flows'!M$6,ProposedLoansWkst!$C$50:$C$63,0)))</f>
        <v>0</v>
      </c>
      <c r="N181" s="476">
        <f>INDEX('Loans to Cash Flows Wkst'!$D$51:$D$64,MATCH('Cash Flows'!N$6,'Loans to Cash Flows Wkst'!$C$51:$C$64,0))+(INDEX(ProposedLoansWkst!$D$50:$D$63,MATCH('Cash Flows'!N$6,ProposedLoansWkst!$C$50:$C$63,0)))</f>
        <v>0</v>
      </c>
      <c r="O181" s="476">
        <f>INDEX('Loans to Cash Flows Wkst'!$D$51:$D$64,MATCH('Cash Flows'!O$6,'Loans to Cash Flows Wkst'!$C$51:$C$64,0))+(INDEX(ProposedLoansWkst!$D$50:$D$63,MATCH('Cash Flows'!O$6,ProposedLoansWkst!$C$50:$C$63,0)))</f>
        <v>0</v>
      </c>
      <c r="P181" s="476">
        <f>INDEX('Loans to Cash Flows Wkst'!$D$51:$D$64,MATCH('Cash Flows'!P$6,'Loans to Cash Flows Wkst'!$C$51:$C$64,0))+(INDEX(ProposedLoansWkst!$D$50:$D$63,MATCH('Cash Flows'!P$6,ProposedLoansWkst!$C$50:$C$63,0)))</f>
        <v>0</v>
      </c>
      <c r="Q181" s="477">
        <f>INDEX('Loans to Cash Flows Wkst'!$D$51:$D$64,MATCH('Cash Flows'!Q$6,'Loans to Cash Flows Wkst'!$C$51:$C$64,0))+(INDEX(ProposedLoansWkst!$D$50:$D$63,MATCH('Cash Flows'!Q$6,ProposedLoansWkst!$C$50:$C$63,0)))</f>
        <v>0</v>
      </c>
    </row>
    <row r="182" spans="2:17" x14ac:dyDescent="0.2">
      <c r="B182" s="236" t="s">
        <v>171</v>
      </c>
      <c r="C182" s="46"/>
      <c r="D182" s="378">
        <v>0</v>
      </c>
      <c r="E182" s="501">
        <f>IF(E21&lt;&gt;0,SUM(F182:Q182),0)</f>
        <v>0</v>
      </c>
      <c r="F182" s="475">
        <f>INDEX('Loans to Cash Flows Wkst'!$D$34:$D$47,MATCH('Cash Flows'!F$6,'Loans to Cash Flows Wkst'!$C$34:$C$47,0))+INDEX(ProposedLoansWkst!$D$34:$D$47,MATCH('Cash Flows'!F$6,ProposedLoansWkst!$C$34:$C$47,0))</f>
        <v>0</v>
      </c>
      <c r="G182" s="476">
        <f>INDEX('Loans to Cash Flows Wkst'!$D$34:$D$47,MATCH('Cash Flows'!G$6,'Loans to Cash Flows Wkst'!$C$34:$C$47,0))+INDEX(ProposedLoansWkst!$D$34:$D$47,MATCH('Cash Flows'!G$6,ProposedLoansWkst!$C$34:$C$47,0))</f>
        <v>0</v>
      </c>
      <c r="H182" s="476">
        <f>INDEX('Loans to Cash Flows Wkst'!$D$34:$D$47,MATCH('Cash Flows'!H$6,'Loans to Cash Flows Wkst'!$C$34:$C$47,0))+INDEX(ProposedLoansWkst!$D$34:$D$47,MATCH('Cash Flows'!H$6,ProposedLoansWkst!$C$34:$C$47,0))</f>
        <v>0</v>
      </c>
      <c r="I182" s="476">
        <f>INDEX('Loans to Cash Flows Wkst'!$D$34:$D$47,MATCH('Cash Flows'!I$6,'Loans to Cash Flows Wkst'!$C$34:$C$47,0))+INDEX(ProposedLoansWkst!$D$34:$D$47,MATCH('Cash Flows'!I$6,ProposedLoansWkst!$C$34:$C$47,0))</f>
        <v>0</v>
      </c>
      <c r="J182" s="476">
        <f>INDEX('Loans to Cash Flows Wkst'!$D$34:$D$47,MATCH('Cash Flows'!J$6,'Loans to Cash Flows Wkst'!$C$34:$C$47,0))+INDEX(ProposedLoansWkst!$D$34:$D$47,MATCH('Cash Flows'!J$6,ProposedLoansWkst!$C$34:$C$47,0))</f>
        <v>0</v>
      </c>
      <c r="K182" s="476">
        <f>INDEX('Loans to Cash Flows Wkst'!$D$34:$D$47,MATCH('Cash Flows'!K$6,'Loans to Cash Flows Wkst'!$C$34:$C$47,0))+INDEX(ProposedLoansWkst!$D$34:$D$47,MATCH('Cash Flows'!K$6,ProposedLoansWkst!$C$34:$C$47,0))</f>
        <v>0</v>
      </c>
      <c r="L182" s="476">
        <f>INDEX('Loans to Cash Flows Wkst'!$D$34:$D$47,MATCH('Cash Flows'!L$6,'Loans to Cash Flows Wkst'!$C$34:$C$47,0))+INDEX(ProposedLoansWkst!$D$34:$D$47,MATCH('Cash Flows'!L$6,ProposedLoansWkst!$C$34:$C$47,0))</f>
        <v>0</v>
      </c>
      <c r="M182" s="476">
        <f>INDEX('Loans to Cash Flows Wkst'!$D$34:$D$47,MATCH('Cash Flows'!M$6,'Loans to Cash Flows Wkst'!$C$34:$C$47,0))+INDEX(ProposedLoansWkst!$D$34:$D$47,MATCH('Cash Flows'!M$6,ProposedLoansWkst!$C$34:$C$47,0))</f>
        <v>0</v>
      </c>
      <c r="N182" s="476">
        <f>INDEX('Loans to Cash Flows Wkst'!$D$34:$D$47,MATCH('Cash Flows'!N$6,'Loans to Cash Flows Wkst'!$C$34:$C$47,0))+INDEX(ProposedLoansWkst!$D$34:$D$47,MATCH('Cash Flows'!N$6,ProposedLoansWkst!$C$34:$C$47,0))</f>
        <v>0</v>
      </c>
      <c r="O182" s="476">
        <f>INDEX('Loans to Cash Flows Wkst'!$D$34:$D$47,MATCH('Cash Flows'!O$6,'Loans to Cash Flows Wkst'!$C$34:$C$47,0))+INDEX(ProposedLoansWkst!$D$34:$D$47,MATCH('Cash Flows'!O$6,ProposedLoansWkst!$C$34:$C$47,0))</f>
        <v>0</v>
      </c>
      <c r="P182" s="476">
        <f>INDEX('Loans to Cash Flows Wkst'!$D$34:$D$47,MATCH('Cash Flows'!P$6,'Loans to Cash Flows Wkst'!$C$34:$C$47,0))+INDEX(ProposedLoansWkst!$D$34:$D$47,MATCH('Cash Flows'!P$6,ProposedLoansWkst!$C$34:$C$47,0))</f>
        <v>0</v>
      </c>
      <c r="Q182" s="477">
        <f>INDEX('Loans to Cash Flows Wkst'!$D$34:$D$47,MATCH('Cash Flows'!Q$6,'Loans to Cash Flows Wkst'!$C$34:$C$47,0))+INDEX(ProposedLoansWkst!$D$34:$D$47,MATCH('Cash Flows'!Q$6,ProposedLoansWkst!$C$34:$C$47,0))</f>
        <v>0</v>
      </c>
    </row>
    <row r="183" spans="2:17" x14ac:dyDescent="0.2">
      <c r="B183" s="236" t="s">
        <v>443</v>
      </c>
      <c r="C183" s="46"/>
      <c r="D183" s="1038">
        <f>schFPAssRetirePurch+schFPAssStockPurch+schFPAssLifeInsPurch</f>
        <v>0</v>
      </c>
      <c r="E183" s="501">
        <f t="shared" si="27"/>
        <v>0</v>
      </c>
      <c r="F183" s="354"/>
      <c r="G183" s="365"/>
      <c r="H183" s="365"/>
      <c r="I183" s="365"/>
      <c r="J183" s="365"/>
      <c r="K183" s="365"/>
      <c r="L183" s="365"/>
      <c r="M183" s="365"/>
      <c r="N183" s="365"/>
      <c r="O183" s="365"/>
      <c r="P183" s="365"/>
      <c r="Q183" s="336"/>
    </row>
    <row r="184" spans="2:17" x14ac:dyDescent="0.2">
      <c r="B184" s="236" t="s">
        <v>444</v>
      </c>
      <c r="C184" s="46"/>
      <c r="D184" s="1038">
        <f>schFPAssVehPurch</f>
        <v>0</v>
      </c>
      <c r="E184" s="501">
        <f t="shared" ref="E184" si="31">SUM(F184:Q184)</f>
        <v>0</v>
      </c>
      <c r="F184" s="354"/>
      <c r="G184" s="365"/>
      <c r="H184" s="365"/>
      <c r="I184" s="365"/>
      <c r="J184" s="365"/>
      <c r="K184" s="365"/>
      <c r="L184" s="365"/>
      <c r="M184" s="365"/>
      <c r="N184" s="365"/>
      <c r="O184" s="365"/>
      <c r="P184" s="365"/>
      <c r="Q184" s="336"/>
    </row>
    <row r="185" spans="2:17" x14ac:dyDescent="0.2">
      <c r="B185" s="682" t="s">
        <v>504</v>
      </c>
      <c r="C185" s="46"/>
      <c r="D185" s="1038">
        <f>schFPAssFurnishPurch+schFPAssREPurch+schFPAssBusInvPurch</f>
        <v>0</v>
      </c>
      <c r="E185" s="501">
        <f t="shared" si="27"/>
        <v>0</v>
      </c>
      <c r="F185" s="354"/>
      <c r="G185" s="365"/>
      <c r="H185" s="365"/>
      <c r="I185" s="365"/>
      <c r="J185" s="365"/>
      <c r="K185" s="365"/>
      <c r="L185" s="365"/>
      <c r="M185" s="365"/>
      <c r="N185" s="365"/>
      <c r="O185" s="365"/>
      <c r="P185" s="365"/>
      <c r="Q185" s="336"/>
    </row>
    <row r="186" spans="2:17" x14ac:dyDescent="0.2">
      <c r="B186" s="236" t="s">
        <v>751</v>
      </c>
      <c r="C186" s="46"/>
      <c r="D186" s="1038">
        <f>schFFamLiving</f>
        <v>0</v>
      </c>
      <c r="E186" s="501">
        <f t="shared" si="27"/>
        <v>0</v>
      </c>
      <c r="F186" s="351"/>
      <c r="G186" s="362"/>
      <c r="H186" s="362"/>
      <c r="I186" s="362"/>
      <c r="J186" s="362"/>
      <c r="K186" s="362"/>
      <c r="L186" s="362"/>
      <c r="M186" s="362"/>
      <c r="N186" s="362"/>
      <c r="O186" s="362"/>
      <c r="P186" s="362"/>
      <c r="Q186" s="331"/>
    </row>
    <row r="187" spans="2:17" x14ac:dyDescent="0.2">
      <c r="B187" s="234" t="s">
        <v>18</v>
      </c>
      <c r="C187" s="46"/>
      <c r="D187" s="1038">
        <f>schFPAssOtherPurch</f>
        <v>0</v>
      </c>
      <c r="E187" s="501">
        <f t="shared" si="27"/>
        <v>0</v>
      </c>
      <c r="F187" s="365"/>
      <c r="G187" s="365"/>
      <c r="H187" s="365"/>
      <c r="I187" s="365"/>
      <c r="J187" s="365"/>
      <c r="K187" s="365"/>
      <c r="L187" s="365"/>
      <c r="M187" s="365"/>
      <c r="N187" s="365"/>
      <c r="O187" s="365"/>
      <c r="P187" s="365"/>
      <c r="Q187" s="336"/>
    </row>
    <row r="188" spans="2:17" x14ac:dyDescent="0.2">
      <c r="B188" s="236" t="s">
        <v>762</v>
      </c>
      <c r="C188" s="46"/>
      <c r="D188" s="1038"/>
      <c r="E188" s="521" t="e">
        <f>AVERAGE(F188:Q188)</f>
        <v>#DIV/0!</v>
      </c>
      <c r="F188" s="354"/>
      <c r="G188" s="365"/>
      <c r="H188" s="365"/>
      <c r="I188" s="365"/>
      <c r="J188" s="365"/>
      <c r="K188" s="365"/>
      <c r="L188" s="365"/>
      <c r="M188" s="365"/>
      <c r="N188" s="365"/>
      <c r="O188" s="365"/>
      <c r="P188" s="365"/>
      <c r="Q188" s="336"/>
    </row>
    <row r="189" spans="2:17" x14ac:dyDescent="0.2">
      <c r="B189" s="237" t="s">
        <v>141</v>
      </c>
      <c r="C189" s="160"/>
      <c r="D189" s="390">
        <f>SUM(D161:D187)</f>
        <v>0</v>
      </c>
      <c r="E189" s="517">
        <f>IF(E21&lt;&gt;0,SUM(F189:Q189)-SUM(F188:Q188)+E188,0)</f>
        <v>0</v>
      </c>
      <c r="F189" s="352">
        <f>SUM(F161:F188)</f>
        <v>0</v>
      </c>
      <c r="G189" s="363">
        <f t="shared" ref="G189:Q189" si="32">SUM(G161:G188)</f>
        <v>0</v>
      </c>
      <c r="H189" s="363">
        <f t="shared" si="32"/>
        <v>0</v>
      </c>
      <c r="I189" s="363">
        <f t="shared" si="32"/>
        <v>0</v>
      </c>
      <c r="J189" s="363">
        <f t="shared" si="32"/>
        <v>0</v>
      </c>
      <c r="K189" s="363">
        <f t="shared" si="32"/>
        <v>0</v>
      </c>
      <c r="L189" s="363">
        <f t="shared" si="32"/>
        <v>0</v>
      </c>
      <c r="M189" s="363">
        <f t="shared" si="32"/>
        <v>0</v>
      </c>
      <c r="N189" s="363">
        <f t="shared" si="32"/>
        <v>0</v>
      </c>
      <c r="O189" s="363">
        <f t="shared" si="32"/>
        <v>0</v>
      </c>
      <c r="P189" s="363">
        <f t="shared" si="32"/>
        <v>0</v>
      </c>
      <c r="Q189" s="332">
        <f t="shared" si="32"/>
        <v>0</v>
      </c>
    </row>
    <row r="190" spans="2:17" ht="3.75" customHeight="1" x14ac:dyDescent="0.2">
      <c r="B190" s="225"/>
      <c r="D190" s="392"/>
      <c r="E190" s="515"/>
      <c r="F190" s="353"/>
      <c r="G190" s="364"/>
      <c r="H190" s="372"/>
      <c r="I190" s="372"/>
      <c r="J190" s="372"/>
      <c r="K190" s="372"/>
      <c r="L190" s="372"/>
      <c r="M190" s="372"/>
      <c r="N190" s="372"/>
      <c r="O190" s="372"/>
      <c r="P190" s="372"/>
      <c r="Q190" s="335"/>
    </row>
    <row r="191" spans="2:17" ht="3.75" customHeight="1" x14ac:dyDescent="0.2">
      <c r="B191" s="238"/>
      <c r="C191" s="10"/>
      <c r="D191" s="393"/>
      <c r="E191" s="513"/>
      <c r="F191" s="353"/>
      <c r="G191" s="364"/>
      <c r="H191" s="364"/>
      <c r="I191" s="364"/>
      <c r="J191" s="364"/>
      <c r="K191" s="364"/>
      <c r="L191" s="364"/>
      <c r="M191" s="364"/>
      <c r="N191" s="364"/>
      <c r="O191" s="364"/>
      <c r="P191" s="364"/>
      <c r="Q191" s="337"/>
    </row>
    <row r="192" spans="2:17" x14ac:dyDescent="0.2">
      <c r="B192" s="247" t="s">
        <v>122</v>
      </c>
      <c r="C192" s="169"/>
      <c r="D192" s="394">
        <f t="shared" ref="D192:Q192" si="33">IF(ProjPersonal="Just Business Income and Expenses",0,D158-D189)</f>
        <v>0</v>
      </c>
      <c r="E192" s="522">
        <f t="shared" si="33"/>
        <v>0</v>
      </c>
      <c r="F192" s="398">
        <f t="shared" si="33"/>
        <v>0</v>
      </c>
      <c r="G192" s="401">
        <f t="shared" si="33"/>
        <v>0</v>
      </c>
      <c r="H192" s="401">
        <f t="shared" si="33"/>
        <v>0</v>
      </c>
      <c r="I192" s="401">
        <f t="shared" si="33"/>
        <v>0</v>
      </c>
      <c r="J192" s="401">
        <f t="shared" si="33"/>
        <v>0</v>
      </c>
      <c r="K192" s="401">
        <f t="shared" si="33"/>
        <v>0</v>
      </c>
      <c r="L192" s="401">
        <f t="shared" si="33"/>
        <v>0</v>
      </c>
      <c r="M192" s="401">
        <f t="shared" si="33"/>
        <v>0</v>
      </c>
      <c r="N192" s="401">
        <f t="shared" si="33"/>
        <v>0</v>
      </c>
      <c r="O192" s="401">
        <f t="shared" si="33"/>
        <v>0</v>
      </c>
      <c r="P192" s="401">
        <f t="shared" si="33"/>
        <v>0</v>
      </c>
      <c r="Q192" s="344">
        <f t="shared" si="33"/>
        <v>0</v>
      </c>
    </row>
    <row r="193" spans="2:31" ht="1.5" customHeight="1" x14ac:dyDescent="0.2">
      <c r="B193" s="240"/>
      <c r="C193" s="13"/>
      <c r="D193" s="380"/>
      <c r="E193" s="515"/>
      <c r="F193" s="353"/>
      <c r="G193" s="364"/>
      <c r="H193" s="372"/>
      <c r="I193" s="372"/>
      <c r="J193" s="372"/>
      <c r="K193" s="372"/>
      <c r="L193" s="372"/>
      <c r="M193" s="372"/>
      <c r="N193" s="372"/>
      <c r="O193" s="372"/>
      <c r="P193" s="372"/>
      <c r="Q193" s="335"/>
    </row>
    <row r="194" spans="2:31" ht="1.5" customHeight="1" thickBot="1" x14ac:dyDescent="0.25">
      <c r="B194" s="239" t="s">
        <v>123</v>
      </c>
      <c r="C194" s="161"/>
      <c r="D194" s="395"/>
      <c r="E194" s="523"/>
      <c r="F194" s="355">
        <f>F192</f>
        <v>0</v>
      </c>
      <c r="G194" s="366">
        <f t="shared" ref="G194:Q194" si="34">F194+G192</f>
        <v>0</v>
      </c>
      <c r="H194" s="366">
        <f t="shared" si="34"/>
        <v>0</v>
      </c>
      <c r="I194" s="366">
        <f t="shared" si="34"/>
        <v>0</v>
      </c>
      <c r="J194" s="366">
        <f t="shared" si="34"/>
        <v>0</v>
      </c>
      <c r="K194" s="366">
        <f t="shared" si="34"/>
        <v>0</v>
      </c>
      <c r="L194" s="366">
        <f t="shared" si="34"/>
        <v>0</v>
      </c>
      <c r="M194" s="366">
        <f t="shared" si="34"/>
        <v>0</v>
      </c>
      <c r="N194" s="366">
        <f t="shared" si="34"/>
        <v>0</v>
      </c>
      <c r="O194" s="366">
        <f t="shared" si="34"/>
        <v>0</v>
      </c>
      <c r="P194" s="366">
        <f t="shared" si="34"/>
        <v>0</v>
      </c>
      <c r="Q194" s="338">
        <f t="shared" si="34"/>
        <v>0</v>
      </c>
    </row>
    <row r="195" spans="2:31" s="13" customFormat="1" ht="3.6" customHeight="1" thickTop="1" x14ac:dyDescent="0.2">
      <c r="B195" s="462"/>
      <c r="C195" s="463"/>
      <c r="D195" s="525"/>
      <c r="E195" s="515"/>
      <c r="F195" s="464"/>
      <c r="G195" s="465"/>
      <c r="H195" s="465"/>
      <c r="I195" s="465"/>
      <c r="J195" s="465"/>
      <c r="K195" s="465"/>
      <c r="L195" s="465"/>
      <c r="M195" s="465"/>
      <c r="N195" s="465"/>
      <c r="O195" s="465"/>
      <c r="P195" s="465"/>
      <c r="Q195" s="466"/>
      <c r="T195" s="1253"/>
      <c r="U195" s="1253"/>
      <c r="V195" s="1253"/>
      <c r="W195" s="1253"/>
      <c r="X195" s="1253"/>
      <c r="Y195" s="1253"/>
      <c r="Z195" s="1253"/>
      <c r="AA195" s="1253"/>
      <c r="AB195" s="1253"/>
      <c r="AC195" s="1253"/>
      <c r="AD195" s="1253"/>
      <c r="AE195" s="1253"/>
    </row>
    <row r="196" spans="2:31" ht="1.5" customHeight="1" x14ac:dyDescent="0.2">
      <c r="B196" s="225"/>
      <c r="D196" s="376"/>
      <c r="E196" s="524"/>
      <c r="F196" s="399"/>
      <c r="G196" s="402"/>
      <c r="H196" s="405"/>
      <c r="I196" s="405"/>
      <c r="J196" s="405"/>
      <c r="K196" s="405"/>
      <c r="L196" s="405"/>
      <c r="M196" s="405"/>
      <c r="N196" s="405"/>
      <c r="O196" s="405"/>
      <c r="P196" s="405"/>
      <c r="Q196" s="345"/>
    </row>
    <row r="197" spans="2:31" x14ac:dyDescent="0.2">
      <c r="B197" s="244" t="s">
        <v>129</v>
      </c>
      <c r="C197" s="168"/>
      <c r="D197" s="396">
        <f>D88+IF(HowSell="Direct to Processor",0,D142)+IF(ProjPersonal="Just Business Income and Expenses",0,'Cash Flows'!D192)</f>
        <v>0</v>
      </c>
      <c r="E197" s="1098">
        <f>E88+IF(HowSell="Direct to Processor",0,E142)+IF(ProjPersonal="Just Business Income and Expenses",0,'Cash Flows'!E192)</f>
        <v>0</v>
      </c>
      <c r="F197" s="587">
        <f>F88+IF(HowSell="Direct to Processor",0,F142)+IF(ProjPersonal="Just Business Income and Expenses",0,'Cash Flows'!F192)</f>
        <v>0</v>
      </c>
      <c r="G197" s="403">
        <f>G88+IF(HowSell="Direct to Processor",0,G142)+IF(ProjPersonal="Just Business Income and Expenses",0,'Cash Flows'!G192)</f>
        <v>0</v>
      </c>
      <c r="H197" s="403">
        <f>H88+IF(HowSell="Direct to Processor",0,H142)+IF(ProjPersonal="Just Business Income and Expenses",0,'Cash Flows'!H192)</f>
        <v>0</v>
      </c>
      <c r="I197" s="403">
        <f>I88+IF(HowSell="Direct to Processor",0,I142)+IF(ProjPersonal="Just Business Income and Expenses",0,'Cash Flows'!I192)</f>
        <v>0</v>
      </c>
      <c r="J197" s="403">
        <f>J88+IF(HowSell="Direct to Processor",0,J142)+IF(ProjPersonal="Just Business Income and Expenses",0,'Cash Flows'!J192)</f>
        <v>0</v>
      </c>
      <c r="K197" s="403">
        <f>K88+IF(HowSell="Direct to Processor",0,K142)+IF(ProjPersonal="Just Business Income and Expenses",0,'Cash Flows'!K192)</f>
        <v>0</v>
      </c>
      <c r="L197" s="403">
        <f>L88+IF(HowSell="Direct to Processor",0,L142)+IF(ProjPersonal="Just Business Income and Expenses",0,'Cash Flows'!L192)</f>
        <v>0</v>
      </c>
      <c r="M197" s="403">
        <f>M88+IF(HowSell="Direct to Processor",0,M142)+IF(ProjPersonal="Just Business Income and Expenses",0,'Cash Flows'!M192)</f>
        <v>0</v>
      </c>
      <c r="N197" s="403">
        <f>N88+IF(HowSell="Direct to Processor",0,N142)+IF(ProjPersonal="Just Business Income and Expenses",0,'Cash Flows'!N192)</f>
        <v>0</v>
      </c>
      <c r="O197" s="403">
        <f>O88+IF(HowSell="Direct to Processor",0,O142)+IF(ProjPersonal="Just Business Income and Expenses",0,'Cash Flows'!O192)</f>
        <v>0</v>
      </c>
      <c r="P197" s="403">
        <f>P88+IF(HowSell="Direct to Processor",0,P142)+IF(ProjPersonal="Just Business Income and Expenses",0,'Cash Flows'!P192)</f>
        <v>0</v>
      </c>
      <c r="Q197" s="346">
        <f>Q88+IF(HowSell="Direct to Processor",0,Q142)+IF(ProjPersonal="Just Business Income and Expenses",0,'Cash Flows'!Q192)</f>
        <v>0</v>
      </c>
    </row>
    <row r="198" spans="2:31" ht="3.6" customHeight="1" x14ac:dyDescent="0.2">
      <c r="B198" s="225"/>
      <c r="D198" s="376"/>
      <c r="E198" s="524"/>
      <c r="F198" s="399"/>
      <c r="G198" s="402"/>
      <c r="H198" s="405"/>
      <c r="I198" s="405"/>
      <c r="J198" s="405"/>
      <c r="K198" s="405"/>
      <c r="L198" s="405"/>
      <c r="M198" s="405"/>
      <c r="N198" s="405"/>
      <c r="O198" s="405"/>
      <c r="P198" s="405"/>
      <c r="Q198" s="345"/>
    </row>
    <row r="199" spans="2:31" ht="12.75" customHeight="1" thickBot="1" x14ac:dyDescent="0.25">
      <c r="B199" s="248" t="s">
        <v>128</v>
      </c>
      <c r="C199" s="249"/>
      <c r="D199" s="386"/>
      <c r="E199" s="519"/>
      <c r="F199" s="592">
        <f>F8+F88+F142+IF(ProjPersonal="Just Business Income and Expenses",0,'Cash Flows'!F194)</f>
        <v>0</v>
      </c>
      <c r="G199" s="591">
        <f>G8+G88+G142+IF(ProjPersonal="Just Business Income and Expenses",0,'Cash Flows'!G192)</f>
        <v>5000</v>
      </c>
      <c r="H199" s="591">
        <f>H8+H88+H142+IF(ProjPersonal="Just Business Income and Expenses",0,'Cash Flows'!H192)</f>
        <v>5000</v>
      </c>
      <c r="I199" s="591">
        <f>I8+I88+I142+IF(ProjPersonal="Just Business Income and Expenses",0,'Cash Flows'!I192)</f>
        <v>5000</v>
      </c>
      <c r="J199" s="591">
        <f>J8+J88+J142+IF(ProjPersonal="Just Business Income and Expenses",0,'Cash Flows'!J192)</f>
        <v>5000</v>
      </c>
      <c r="K199" s="591">
        <f>K8+K88+K142+IF(ProjPersonal="Just Business Income and Expenses",0,'Cash Flows'!K192)</f>
        <v>5000</v>
      </c>
      <c r="L199" s="591">
        <f>L8+L88+L142+IF(ProjPersonal="Just Business Income and Expenses",0,'Cash Flows'!L192)</f>
        <v>5000</v>
      </c>
      <c r="M199" s="591">
        <f>M8+M88+M142+IF(ProjPersonal="Just Business Income and Expenses",0,'Cash Flows'!M192)</f>
        <v>5000</v>
      </c>
      <c r="N199" s="591">
        <f>N8+N88+N142+IF(ProjPersonal="Just Business Income and Expenses",0,'Cash Flows'!N192)</f>
        <v>5000</v>
      </c>
      <c r="O199" s="591">
        <f>O8+O88+O142+IF(ProjPersonal="Just Business Income and Expenses",0,'Cash Flows'!O192)</f>
        <v>5000</v>
      </c>
      <c r="P199" s="591">
        <f>P8+P88+P142+IF(ProjPersonal="Just Business Income and Expenses",0,'Cash Flows'!P192)</f>
        <v>5000</v>
      </c>
      <c r="Q199" s="593">
        <f>Q8+Q88+Q142+IF(ProjPersonal="Just Business Income and Expenses",0,'Cash Flows'!Q192)</f>
        <v>5000</v>
      </c>
    </row>
    <row r="200" spans="2:31" ht="3.75" customHeight="1" x14ac:dyDescent="0.2"/>
    <row r="201" spans="2:31" ht="5.0999999999999996" customHeight="1" x14ac:dyDescent="0.2"/>
    <row r="202" spans="2:31" ht="2.1" customHeight="1" x14ac:dyDescent="0.2"/>
    <row r="203" spans="2:31" ht="3.75" customHeight="1" thickBot="1" x14ac:dyDescent="0.25">
      <c r="F203" s="3"/>
      <c r="G203" s="3"/>
      <c r="H203" s="3"/>
      <c r="I203" s="3"/>
      <c r="J203" s="3"/>
      <c r="K203" s="3"/>
      <c r="L203" s="3"/>
      <c r="M203" s="3"/>
      <c r="N203" s="3"/>
      <c r="O203" s="3"/>
      <c r="P203" s="3"/>
      <c r="Q203" s="3"/>
    </row>
    <row r="204" spans="2:31" x14ac:dyDescent="0.2">
      <c r="B204" s="1136"/>
      <c r="C204" s="1137"/>
      <c r="D204" s="1138">
        <f>Year</f>
        <v>0</v>
      </c>
      <c r="E204" s="1139">
        <f>Year+1</f>
        <v>1</v>
      </c>
      <c r="F204" s="1140" t="s">
        <v>4</v>
      </c>
      <c r="G204" s="1141" t="s">
        <v>5</v>
      </c>
      <c r="H204" s="1142" t="s">
        <v>6</v>
      </c>
      <c r="I204" s="1142" t="s">
        <v>7</v>
      </c>
      <c r="J204" s="1142" t="s">
        <v>3</v>
      </c>
      <c r="K204" s="1142" t="s">
        <v>8</v>
      </c>
      <c r="L204" s="1142" t="s">
        <v>9</v>
      </c>
      <c r="M204" s="1142" t="s">
        <v>10</v>
      </c>
      <c r="N204" s="1142" t="s">
        <v>11</v>
      </c>
      <c r="O204" s="1142" t="s">
        <v>12</v>
      </c>
      <c r="P204" s="1142" t="s">
        <v>13</v>
      </c>
      <c r="Q204" s="1143" t="s">
        <v>14</v>
      </c>
    </row>
    <row r="205" spans="2:31" x14ac:dyDescent="0.2">
      <c r="B205" s="1105" t="s">
        <v>218</v>
      </c>
      <c r="C205" s="1102"/>
      <c r="D205" s="1107">
        <f>D8</f>
        <v>0</v>
      </c>
      <c r="E205" s="1112">
        <f>'Final Balance Sheet'!C8</f>
        <v>0</v>
      </c>
      <c r="F205" s="1144">
        <f>'Final Balance Sheet'!C8</f>
        <v>0</v>
      </c>
      <c r="G205" s="1145">
        <f t="shared" ref="G205:Q205" si="35">G8</f>
        <v>5000</v>
      </c>
      <c r="H205" s="1145">
        <f t="shared" si="35"/>
        <v>5000</v>
      </c>
      <c r="I205" s="1145">
        <f t="shared" si="35"/>
        <v>5000</v>
      </c>
      <c r="J205" s="1145">
        <f t="shared" si="35"/>
        <v>5000</v>
      </c>
      <c r="K205" s="1145">
        <f t="shared" si="35"/>
        <v>5000</v>
      </c>
      <c r="L205" s="1145">
        <f t="shared" si="35"/>
        <v>5000</v>
      </c>
      <c r="M205" s="1145">
        <f t="shared" si="35"/>
        <v>5000</v>
      </c>
      <c r="N205" s="1145">
        <f t="shared" si="35"/>
        <v>5000</v>
      </c>
      <c r="O205" s="1145">
        <f t="shared" si="35"/>
        <v>5000</v>
      </c>
      <c r="P205" s="1145">
        <f t="shared" si="35"/>
        <v>5000</v>
      </c>
      <c r="Q205" s="1146">
        <f t="shared" si="35"/>
        <v>5000</v>
      </c>
    </row>
    <row r="206" spans="2:31" x14ac:dyDescent="0.2">
      <c r="B206" s="1147" t="s">
        <v>232</v>
      </c>
      <c r="C206" s="1148"/>
      <c r="D206" s="1149">
        <f t="shared" ref="D206:Q206" si="36">D88</f>
        <v>0</v>
      </c>
      <c r="E206" s="1150">
        <f t="shared" si="36"/>
        <v>0</v>
      </c>
      <c r="F206" s="1144">
        <f t="shared" si="36"/>
        <v>0</v>
      </c>
      <c r="G206" s="1144">
        <f t="shared" si="36"/>
        <v>0</v>
      </c>
      <c r="H206" s="1144">
        <f t="shared" si="36"/>
        <v>0</v>
      </c>
      <c r="I206" s="1144">
        <f t="shared" si="36"/>
        <v>0</v>
      </c>
      <c r="J206" s="1144">
        <f t="shared" si="36"/>
        <v>0</v>
      </c>
      <c r="K206" s="1144">
        <f t="shared" si="36"/>
        <v>0</v>
      </c>
      <c r="L206" s="1144">
        <f t="shared" si="36"/>
        <v>0</v>
      </c>
      <c r="M206" s="1144">
        <f t="shared" si="36"/>
        <v>0</v>
      </c>
      <c r="N206" s="1144">
        <f t="shared" si="36"/>
        <v>0</v>
      </c>
      <c r="O206" s="1144">
        <f t="shared" si="36"/>
        <v>0</v>
      </c>
      <c r="P206" s="1144">
        <f t="shared" si="36"/>
        <v>0</v>
      </c>
      <c r="Q206" s="1151">
        <f t="shared" si="36"/>
        <v>0</v>
      </c>
    </row>
    <row r="207" spans="2:31" x14ac:dyDescent="0.2">
      <c r="B207" s="1147" t="s">
        <v>219</v>
      </c>
      <c r="C207" s="1148"/>
      <c r="D207" s="1149">
        <f>IF('Gen Info'!$K$17="Direct to Processor",0,D142)</f>
        <v>0</v>
      </c>
      <c r="E207" s="1150">
        <f>IF('Gen Info'!$K$17="Direct to Processor",0,E142)</f>
        <v>0</v>
      </c>
      <c r="F207" s="1144">
        <f t="shared" ref="F207:Q207" si="37">F142</f>
        <v>0</v>
      </c>
      <c r="G207" s="1144">
        <f t="shared" si="37"/>
        <v>0</v>
      </c>
      <c r="H207" s="1144">
        <f t="shared" si="37"/>
        <v>0</v>
      </c>
      <c r="I207" s="1144">
        <f t="shared" si="37"/>
        <v>0</v>
      </c>
      <c r="J207" s="1144">
        <f t="shared" si="37"/>
        <v>0</v>
      </c>
      <c r="K207" s="1144">
        <f t="shared" si="37"/>
        <v>0</v>
      </c>
      <c r="L207" s="1144">
        <f t="shared" si="37"/>
        <v>0</v>
      </c>
      <c r="M207" s="1144">
        <f t="shared" si="37"/>
        <v>0</v>
      </c>
      <c r="N207" s="1144">
        <f t="shared" si="37"/>
        <v>0</v>
      </c>
      <c r="O207" s="1144">
        <f t="shared" si="37"/>
        <v>0</v>
      </c>
      <c r="P207" s="1144">
        <f t="shared" si="37"/>
        <v>0</v>
      </c>
      <c r="Q207" s="1151">
        <f t="shared" si="37"/>
        <v>0</v>
      </c>
    </row>
    <row r="208" spans="2:31" x14ac:dyDescent="0.2">
      <c r="B208" s="1147" t="s">
        <v>220</v>
      </c>
      <c r="C208" s="1148"/>
      <c r="D208" s="1149">
        <f t="shared" ref="D208:Q208" si="38">D192</f>
        <v>0</v>
      </c>
      <c r="E208" s="1150">
        <f t="shared" si="38"/>
        <v>0</v>
      </c>
      <c r="F208" s="1144">
        <f t="shared" si="38"/>
        <v>0</v>
      </c>
      <c r="G208" s="1144">
        <f t="shared" si="38"/>
        <v>0</v>
      </c>
      <c r="H208" s="1144">
        <f t="shared" si="38"/>
        <v>0</v>
      </c>
      <c r="I208" s="1144">
        <f t="shared" si="38"/>
        <v>0</v>
      </c>
      <c r="J208" s="1144">
        <f t="shared" si="38"/>
        <v>0</v>
      </c>
      <c r="K208" s="1144">
        <f t="shared" si="38"/>
        <v>0</v>
      </c>
      <c r="L208" s="1144">
        <f t="shared" si="38"/>
        <v>0</v>
      </c>
      <c r="M208" s="1144">
        <f t="shared" si="38"/>
        <v>0</v>
      </c>
      <c r="N208" s="1144">
        <f t="shared" si="38"/>
        <v>0</v>
      </c>
      <c r="O208" s="1144">
        <f t="shared" si="38"/>
        <v>0</v>
      </c>
      <c r="P208" s="1144">
        <f t="shared" si="38"/>
        <v>0</v>
      </c>
      <c r="Q208" s="1151">
        <f t="shared" si="38"/>
        <v>0</v>
      </c>
    </row>
    <row r="209" spans="2:31" ht="13.5" thickBot="1" x14ac:dyDescent="0.25">
      <c r="B209" s="1152" t="s">
        <v>818</v>
      </c>
      <c r="C209" s="1153"/>
      <c r="D209" s="1154">
        <f>D205+D206+D207+D208</f>
        <v>0</v>
      </c>
      <c r="E209" s="1155">
        <f>E205+E206+E207+E208</f>
        <v>0</v>
      </c>
      <c r="F209" s="1156">
        <f t="shared" ref="F209:Q209" si="39">F199</f>
        <v>0</v>
      </c>
      <c r="G209" s="1156">
        <f t="shared" si="39"/>
        <v>5000</v>
      </c>
      <c r="H209" s="1156">
        <f t="shared" si="39"/>
        <v>5000</v>
      </c>
      <c r="I209" s="1156">
        <f t="shared" si="39"/>
        <v>5000</v>
      </c>
      <c r="J209" s="1156">
        <f t="shared" si="39"/>
        <v>5000</v>
      </c>
      <c r="K209" s="1156">
        <f t="shared" si="39"/>
        <v>5000</v>
      </c>
      <c r="L209" s="1156">
        <f t="shared" si="39"/>
        <v>5000</v>
      </c>
      <c r="M209" s="1156">
        <f t="shared" si="39"/>
        <v>5000</v>
      </c>
      <c r="N209" s="1156">
        <f t="shared" si="39"/>
        <v>5000</v>
      </c>
      <c r="O209" s="1156">
        <f t="shared" si="39"/>
        <v>5000</v>
      </c>
      <c r="P209" s="1156">
        <f t="shared" si="39"/>
        <v>5000</v>
      </c>
      <c r="Q209" s="1157">
        <f t="shared" si="39"/>
        <v>5000</v>
      </c>
    </row>
    <row r="210" spans="2:31" ht="13.5" thickBot="1" x14ac:dyDescent="0.25">
      <c r="B210" s="1100"/>
      <c r="C210" s="1100"/>
      <c r="D210" s="1101"/>
      <c r="E210" s="1100"/>
      <c r="F210" s="3"/>
      <c r="G210" s="3"/>
      <c r="H210" s="3"/>
      <c r="I210" s="3"/>
      <c r="J210" s="3"/>
      <c r="K210" s="3"/>
      <c r="L210" s="3"/>
      <c r="M210" s="3"/>
      <c r="N210" s="3"/>
      <c r="O210" s="3"/>
      <c r="P210" s="3"/>
      <c r="Q210" s="3"/>
      <c r="T210" s="414">
        <v>1</v>
      </c>
      <c r="U210" s="414">
        <v>2</v>
      </c>
      <c r="V210" s="414">
        <v>3</v>
      </c>
      <c r="W210" s="414">
        <v>4</v>
      </c>
      <c r="X210" s="414">
        <v>5</v>
      </c>
      <c r="Y210" s="414">
        <v>6</v>
      </c>
      <c r="Z210" s="414">
        <v>7</v>
      </c>
      <c r="AA210" s="414">
        <v>8</v>
      </c>
      <c r="AB210" s="414">
        <v>9</v>
      </c>
      <c r="AC210" s="414">
        <v>10</v>
      </c>
      <c r="AD210" s="414">
        <v>11</v>
      </c>
      <c r="AE210" s="414">
        <v>12</v>
      </c>
    </row>
    <row r="211" spans="2:31" x14ac:dyDescent="0.2">
      <c r="B211" s="1404" t="s">
        <v>803</v>
      </c>
      <c r="C211" s="1405"/>
      <c r="D211" s="1106">
        <f>Year</f>
        <v>0</v>
      </c>
      <c r="E211" s="1111">
        <f>Year+1</f>
        <v>1</v>
      </c>
      <c r="F211" s="1108" t="s">
        <v>4</v>
      </c>
      <c r="G211" s="1109" t="s">
        <v>5</v>
      </c>
      <c r="H211" s="1110" t="s">
        <v>6</v>
      </c>
      <c r="I211" s="1110" t="s">
        <v>7</v>
      </c>
      <c r="J211" s="1110" t="s">
        <v>3</v>
      </c>
      <c r="K211" s="1110" t="s">
        <v>8</v>
      </c>
      <c r="L211" s="1110" t="s">
        <v>9</v>
      </c>
      <c r="M211" s="1110" t="s">
        <v>10</v>
      </c>
      <c r="N211" s="1110" t="s">
        <v>11</v>
      </c>
      <c r="O211" s="1110" t="s">
        <v>12</v>
      </c>
      <c r="P211" s="1110" t="s">
        <v>13</v>
      </c>
      <c r="Q211" s="1104" t="s">
        <v>14</v>
      </c>
      <c r="T211" s="414">
        <v>0.05</v>
      </c>
      <c r="U211" s="414">
        <v>0.05</v>
      </c>
      <c r="V211" s="414">
        <v>0.05</v>
      </c>
      <c r="W211" s="414">
        <v>0.05</v>
      </c>
      <c r="X211" s="414">
        <v>0.05</v>
      </c>
      <c r="Y211" s="414">
        <v>0.05</v>
      </c>
      <c r="Z211" s="414">
        <v>0.05</v>
      </c>
      <c r="AA211" s="414">
        <v>0.05</v>
      </c>
      <c r="AB211" s="414">
        <v>0.05</v>
      </c>
      <c r="AC211" s="414">
        <v>0.05</v>
      </c>
      <c r="AD211" s="414">
        <v>0.05</v>
      </c>
      <c r="AE211" s="414">
        <v>0.05</v>
      </c>
    </row>
    <row r="212" spans="2:31" x14ac:dyDescent="0.2">
      <c r="B212" s="242" t="s">
        <v>804</v>
      </c>
      <c r="C212" s="157"/>
      <c r="D212" s="1038">
        <f>D219-ACFNewOpTot+ACFPrinOpTot</f>
        <v>0</v>
      </c>
      <c r="E212" s="500">
        <f>D219</f>
        <v>0</v>
      </c>
      <c r="F212" s="473">
        <f>E212</f>
        <v>0</v>
      </c>
      <c r="G212" s="473">
        <f>F219</f>
        <v>0</v>
      </c>
      <c r="H212" s="473">
        <f t="shared" ref="H212:P212" si="40">G219</f>
        <v>0</v>
      </c>
      <c r="I212" s="473">
        <f t="shared" si="40"/>
        <v>0</v>
      </c>
      <c r="J212" s="473">
        <f t="shared" si="40"/>
        <v>0</v>
      </c>
      <c r="K212" s="473">
        <f t="shared" si="40"/>
        <v>0</v>
      </c>
      <c r="L212" s="473">
        <f t="shared" si="40"/>
        <v>0</v>
      </c>
      <c r="M212" s="473">
        <f t="shared" si="40"/>
        <v>0</v>
      </c>
      <c r="N212" s="473">
        <f t="shared" si="40"/>
        <v>0</v>
      </c>
      <c r="O212" s="473">
        <f t="shared" si="40"/>
        <v>0</v>
      </c>
      <c r="P212" s="473">
        <f t="shared" si="40"/>
        <v>0</v>
      </c>
      <c r="Q212" s="474">
        <f>P219</f>
        <v>0</v>
      </c>
      <c r="T212" s="414">
        <f>T211/12</f>
        <v>4.1666666666666666E-3</v>
      </c>
      <c r="U212" s="414">
        <f t="shared" ref="U212:AE212" si="41">U211/12</f>
        <v>4.1666666666666666E-3</v>
      </c>
      <c r="V212" s="414">
        <f t="shared" si="41"/>
        <v>4.1666666666666666E-3</v>
      </c>
      <c r="W212" s="414">
        <f t="shared" si="41"/>
        <v>4.1666666666666666E-3</v>
      </c>
      <c r="X212" s="414">
        <f t="shared" si="41"/>
        <v>4.1666666666666666E-3</v>
      </c>
      <c r="Y212" s="414">
        <f t="shared" si="41"/>
        <v>4.1666666666666666E-3</v>
      </c>
      <c r="Z212" s="414">
        <f t="shared" si="41"/>
        <v>4.1666666666666666E-3</v>
      </c>
      <c r="AA212" s="414">
        <f t="shared" si="41"/>
        <v>4.1666666666666666E-3</v>
      </c>
      <c r="AB212" s="414">
        <f t="shared" si="41"/>
        <v>4.1666666666666666E-3</v>
      </c>
      <c r="AC212" s="414">
        <f t="shared" si="41"/>
        <v>4.1666666666666666E-3</v>
      </c>
      <c r="AD212" s="414">
        <f t="shared" si="41"/>
        <v>4.1666666666666666E-3</v>
      </c>
      <c r="AE212" s="414">
        <f t="shared" si="41"/>
        <v>4.1666666666666666E-3</v>
      </c>
    </row>
    <row r="213" spans="2:31" x14ac:dyDescent="0.2">
      <c r="B213" s="242" t="s">
        <v>809</v>
      </c>
      <c r="C213" s="157"/>
      <c r="D213" s="1038">
        <f>schFLoanOpLoanBorrow</f>
        <v>0</v>
      </c>
      <c r="E213" s="500">
        <f>SUM(F213:Q213)</f>
        <v>0</v>
      </c>
      <c r="F213" s="1250"/>
      <c r="G213" s="1250"/>
      <c r="H213" s="1250"/>
      <c r="I213" s="1250"/>
      <c r="J213" s="1250"/>
      <c r="K213" s="1250"/>
      <c r="L213" s="1250"/>
      <c r="M213" s="1250"/>
      <c r="N213" s="1250"/>
      <c r="O213" s="1250"/>
      <c r="P213" s="1250"/>
      <c r="Q213" s="1251"/>
      <c r="T213" s="1255">
        <f>F212*T212</f>
        <v>0</v>
      </c>
      <c r="U213" s="1255">
        <f t="shared" ref="U213:AE213" si="42">G212*U212</f>
        <v>0</v>
      </c>
      <c r="V213" s="1255">
        <f t="shared" si="42"/>
        <v>0</v>
      </c>
      <c r="W213" s="1255">
        <f t="shared" si="42"/>
        <v>0</v>
      </c>
      <c r="X213" s="1255">
        <f t="shared" si="42"/>
        <v>0</v>
      </c>
      <c r="Y213" s="1255">
        <f t="shared" si="42"/>
        <v>0</v>
      </c>
      <c r="Z213" s="1255">
        <f t="shared" si="42"/>
        <v>0</v>
      </c>
      <c r="AA213" s="1255">
        <f t="shared" si="42"/>
        <v>0</v>
      </c>
      <c r="AB213" s="1255">
        <f t="shared" si="42"/>
        <v>0</v>
      </c>
      <c r="AC213" s="1255">
        <f t="shared" si="42"/>
        <v>0</v>
      </c>
      <c r="AD213" s="1255">
        <f t="shared" si="42"/>
        <v>0</v>
      </c>
      <c r="AE213" s="1255">
        <f t="shared" si="42"/>
        <v>0</v>
      </c>
    </row>
    <row r="214" spans="2:31" x14ac:dyDescent="0.2">
      <c r="B214" s="242" t="s">
        <v>811</v>
      </c>
      <c r="C214" s="157"/>
      <c r="D214" s="1158"/>
      <c r="E214" s="500">
        <f>SUM(F214:Q214)</f>
        <v>0</v>
      </c>
      <c r="F214" s="1071"/>
      <c r="G214" s="1071"/>
      <c r="H214" s="1071"/>
      <c r="I214" s="1071"/>
      <c r="J214" s="1071"/>
      <c r="K214" s="1071"/>
      <c r="L214" s="1071"/>
      <c r="M214" s="1071"/>
      <c r="N214" s="1071"/>
      <c r="O214" s="1071"/>
      <c r="P214" s="1071"/>
      <c r="Q214" s="1072"/>
      <c r="T214" s="1255">
        <f>T213</f>
        <v>0</v>
      </c>
      <c r="U214" s="1255">
        <f>T214+U213</f>
        <v>0</v>
      </c>
      <c r="V214" s="1255">
        <f t="shared" ref="V214:AE214" si="43">U214+V213</f>
        <v>0</v>
      </c>
      <c r="W214" s="1255">
        <f t="shared" si="43"/>
        <v>0</v>
      </c>
      <c r="X214" s="1255">
        <f t="shared" si="43"/>
        <v>0</v>
      </c>
      <c r="Y214" s="1255">
        <f t="shared" si="43"/>
        <v>0</v>
      </c>
      <c r="Z214" s="1255">
        <f t="shared" si="43"/>
        <v>0</v>
      </c>
      <c r="AA214" s="1255">
        <f t="shared" si="43"/>
        <v>0</v>
      </c>
      <c r="AB214" s="1255">
        <f t="shared" si="43"/>
        <v>0</v>
      </c>
      <c r="AC214" s="1255">
        <f t="shared" si="43"/>
        <v>0</v>
      </c>
      <c r="AD214" s="1255">
        <f t="shared" si="43"/>
        <v>0</v>
      </c>
      <c r="AE214" s="1255">
        <f t="shared" si="43"/>
        <v>0</v>
      </c>
    </row>
    <row r="215" spans="2:31" x14ac:dyDescent="0.2">
      <c r="B215" s="242" t="s">
        <v>810</v>
      </c>
      <c r="C215" s="157"/>
      <c r="D215" s="1038">
        <f>ACFNewOpTot+IF('Gen Info'!$K$17="Direct to Processor",0,ACFDMNewDMOpTot)</f>
        <v>0</v>
      </c>
      <c r="E215" s="500">
        <f>MCFNewOpTot+IF('Gen Info'!$K$17="Direct to Processor",0,MCFDMNewDMOpTot)</f>
        <v>0</v>
      </c>
      <c r="F215" s="473">
        <f>MCFNewOpInput+MCFDMNewDMOpInput</f>
        <v>0</v>
      </c>
      <c r="G215" s="473">
        <f>G213+G214</f>
        <v>0</v>
      </c>
      <c r="H215" s="473">
        <f t="shared" ref="H215:Q215" si="44">H213+H214</f>
        <v>0</v>
      </c>
      <c r="I215" s="473">
        <f t="shared" si="44"/>
        <v>0</v>
      </c>
      <c r="J215" s="473">
        <f t="shared" si="44"/>
        <v>0</v>
      </c>
      <c r="K215" s="473">
        <f t="shared" si="44"/>
        <v>0</v>
      </c>
      <c r="L215" s="473">
        <f t="shared" si="44"/>
        <v>0</v>
      </c>
      <c r="M215" s="473">
        <f t="shared" si="44"/>
        <v>0</v>
      </c>
      <c r="N215" s="473">
        <f t="shared" si="44"/>
        <v>0</v>
      </c>
      <c r="O215" s="473">
        <f t="shared" si="44"/>
        <v>0</v>
      </c>
      <c r="P215" s="473">
        <f t="shared" si="44"/>
        <v>0</v>
      </c>
      <c r="Q215" s="474">
        <f t="shared" si="44"/>
        <v>0</v>
      </c>
    </row>
    <row r="216" spans="2:31" x14ac:dyDescent="0.2">
      <c r="B216" s="241" t="s">
        <v>802</v>
      </c>
      <c r="C216" s="157"/>
      <c r="D216" s="1038">
        <f>schF21b</f>
        <v>0</v>
      </c>
      <c r="E216" s="500">
        <f>IF(E21&lt;&gt;0,SUM(F216:Q216),0)</f>
        <v>0</v>
      </c>
      <c r="F216" s="473"/>
      <c r="G216" s="473"/>
      <c r="H216" s="473">
        <f>IF(H209&gt;0,MIN(H209,G218+H212*('Loan Entry'!$E$5/12)),0)</f>
        <v>0</v>
      </c>
      <c r="I216" s="473">
        <f>IF(I209&gt;0,MIN(I209,H218+I212*('Loan Entry'!$E$5/12)),0)</f>
        <v>0</v>
      </c>
      <c r="J216" s="473">
        <f>IF(J209&gt;0,MIN(J209,I218+J212*('Loan Entry'!$E$5/12)),0)</f>
        <v>0</v>
      </c>
      <c r="K216" s="473">
        <f>IF(K209&gt;0,MIN(K209,J218+K212*('Loan Entry'!$E$5/12)),0)</f>
        <v>0</v>
      </c>
      <c r="L216" s="473">
        <f>IF(L209&gt;0,MIN(L209,K218+L212*('Loan Entry'!$E$5/12)),0)</f>
        <v>0</v>
      </c>
      <c r="M216" s="473">
        <f>IF(M209&gt;0,MIN(M209,L218+M212*('Loan Entry'!$E$5/12)),0)</f>
        <v>0</v>
      </c>
      <c r="N216" s="473">
        <f>IF(N209&gt;0,MIN(N209,M218+N212*('Loan Entry'!$E$5/12)),0)</f>
        <v>0</v>
      </c>
      <c r="O216" s="473">
        <f>IF(O209&gt;0,MIN(O209,N218+O212*('Loan Entry'!$E$5/12)),0)</f>
        <v>0</v>
      </c>
      <c r="P216" s="473">
        <f>IF(P209&gt;0,MIN(P209,O218+P212*('Loan Entry'!$E$5/12)),0)</f>
        <v>0</v>
      </c>
      <c r="Q216" s="474">
        <f>IF(Q209&gt;0,MIN(Q209,P218+Q212*('Loan Entry'!$E$5/12)),0)</f>
        <v>0</v>
      </c>
    </row>
    <row r="217" spans="2:31" x14ac:dyDescent="0.2">
      <c r="B217" s="241" t="s">
        <v>410</v>
      </c>
      <c r="C217" s="157"/>
      <c r="D217" s="1038">
        <f>schFLoanOpLoanPay</f>
        <v>0</v>
      </c>
      <c r="E217" s="500">
        <f>SUM(F217:Q217)</f>
        <v>0</v>
      </c>
      <c r="F217" s="473"/>
      <c r="G217" s="473"/>
      <c r="H217" s="473">
        <f>IF((H209-H216)&gt;0,MIN(H209-H216,H212),0)</f>
        <v>0</v>
      </c>
      <c r="I217" s="473">
        <f t="shared" ref="I217:Q217" si="45">IF((I209-I216)&gt;0,MIN(I209-I216,I212),0)</f>
        <v>0</v>
      </c>
      <c r="J217" s="473">
        <f t="shared" si="45"/>
        <v>0</v>
      </c>
      <c r="K217" s="473">
        <f t="shared" si="45"/>
        <v>0</v>
      </c>
      <c r="L217" s="473">
        <f t="shared" si="45"/>
        <v>0</v>
      </c>
      <c r="M217" s="473">
        <f t="shared" si="45"/>
        <v>0</v>
      </c>
      <c r="N217" s="473">
        <f t="shared" si="45"/>
        <v>0</v>
      </c>
      <c r="O217" s="473">
        <f t="shared" si="45"/>
        <v>0</v>
      </c>
      <c r="P217" s="473">
        <f t="shared" si="45"/>
        <v>0</v>
      </c>
      <c r="Q217" s="474">
        <f t="shared" si="45"/>
        <v>0</v>
      </c>
    </row>
    <row r="218" spans="2:31" x14ac:dyDescent="0.2">
      <c r="B218" s="229" t="s">
        <v>206</v>
      </c>
      <c r="D218" s="1159"/>
      <c r="E218" s="1160">
        <f>Q218</f>
        <v>0</v>
      </c>
      <c r="F218" s="1119">
        <f>F212*('Loan Entry'!$E$5/12)-F216</f>
        <v>0</v>
      </c>
      <c r="G218" s="1119">
        <f>F218+G212*('Loan Entry'!$E$5/12)-G216</f>
        <v>0</v>
      </c>
      <c r="H218" s="1119">
        <f>G218+H212*('Loan Entry'!$E$5/12)-H216</f>
        <v>0</v>
      </c>
      <c r="I218" s="1119">
        <f>H218+I212*('Loan Entry'!$E$5/12)-I216</f>
        <v>0</v>
      </c>
      <c r="J218" s="1119">
        <f>I218+J212*('Loan Entry'!$E$5/12)-J216</f>
        <v>0</v>
      </c>
      <c r="K218" s="1119">
        <f>J218+K212*('Loan Entry'!$E$5/12)-K216</f>
        <v>0</v>
      </c>
      <c r="L218" s="1119">
        <f>K218+L212*('Loan Entry'!$E$5/12)-L216</f>
        <v>0</v>
      </c>
      <c r="M218" s="1119">
        <f>L218+M212*('Loan Entry'!$E$5/12)-M216</f>
        <v>0</v>
      </c>
      <c r="N218" s="1119">
        <f>M218+N212*('Loan Entry'!$E$5/12)-N216</f>
        <v>0</v>
      </c>
      <c r="O218" s="1119">
        <f>N218+O212*('Loan Entry'!$E$5/12)-O216</f>
        <v>0</v>
      </c>
      <c r="P218" s="1119">
        <f>O218+P212*('Loan Entry'!$E$5/12)-P216</f>
        <v>0</v>
      </c>
      <c r="Q218" s="1113">
        <f>P218+Q212*('Loan Entry'!$E$5/12)-Q216</f>
        <v>0</v>
      </c>
    </row>
    <row r="219" spans="2:31" ht="13.5" thickBot="1" x14ac:dyDescent="0.25">
      <c r="B219" s="1114" t="s">
        <v>805</v>
      </c>
      <c r="C219" s="1115"/>
      <c r="D219" s="1118">
        <f>'Final Balance Sheet'!G8</f>
        <v>0</v>
      </c>
      <c r="E219" s="1117">
        <f>E212+MCFNewOpTot-MCFPrinOpTot</f>
        <v>0</v>
      </c>
      <c r="F219" s="1120">
        <f>F212+F213-F217</f>
        <v>0</v>
      </c>
      <c r="G219" s="1120">
        <f t="shared" ref="G219:Q219" si="46">G212+G213-G217</f>
        <v>0</v>
      </c>
      <c r="H219" s="1120">
        <f t="shared" si="46"/>
        <v>0</v>
      </c>
      <c r="I219" s="1120">
        <f t="shared" si="46"/>
        <v>0</v>
      </c>
      <c r="J219" s="1120">
        <f t="shared" si="46"/>
        <v>0</v>
      </c>
      <c r="K219" s="1120">
        <f t="shared" si="46"/>
        <v>0</v>
      </c>
      <c r="L219" s="1120">
        <f t="shared" si="46"/>
        <v>0</v>
      </c>
      <c r="M219" s="1120">
        <f t="shared" si="46"/>
        <v>0</v>
      </c>
      <c r="N219" s="1120">
        <f t="shared" si="46"/>
        <v>0</v>
      </c>
      <c r="O219" s="1120">
        <f t="shared" si="46"/>
        <v>0</v>
      </c>
      <c r="P219" s="1120">
        <f t="shared" si="46"/>
        <v>0</v>
      </c>
      <c r="Q219" s="1116">
        <f t="shared" si="46"/>
        <v>0</v>
      </c>
    </row>
    <row r="220" spans="2:31" x14ac:dyDescent="0.2">
      <c r="F220" s="3"/>
      <c r="G220" s="3"/>
      <c r="H220" s="3"/>
      <c r="I220" s="3"/>
      <c r="J220" s="3"/>
      <c r="K220" s="3"/>
      <c r="L220" s="3"/>
      <c r="M220" s="3"/>
      <c r="N220" s="3"/>
      <c r="O220" s="3"/>
      <c r="P220" s="3"/>
      <c r="Q220" s="3"/>
    </row>
    <row r="221" spans="2:31" x14ac:dyDescent="0.2">
      <c r="B221" s="13" t="s">
        <v>819</v>
      </c>
      <c r="C221" s="13"/>
      <c r="D221" s="1121">
        <f>D209+ACFOpLoanBorrow-ACFPrinOpTot-ACFFCOpLoanInterestTot</f>
        <v>0</v>
      </c>
      <c r="E221" s="1121">
        <f>E209+ACFOpLoanBorrow-ACFPrinOpTot-ACFFCOpLoanInterestTot</f>
        <v>0</v>
      </c>
      <c r="F221" s="1121">
        <f>IF(F209+MCFOpLoanBorrowInput-F217-MCFFCOpLoanInterestInput&lt;5000,5000,F209+MCFOpLoanBorrowInput-F217-MCFFCOpLoanInterestInput)</f>
        <v>5000</v>
      </c>
      <c r="G221" s="1121">
        <f t="shared" ref="G221:Q221" si="47">IF(G209+G215-G217-G216&lt;5000,5000,G209+G215-G217-G216)</f>
        <v>5000</v>
      </c>
      <c r="H221" s="1121">
        <f t="shared" si="47"/>
        <v>5000</v>
      </c>
      <c r="I221" s="1121">
        <f t="shared" si="47"/>
        <v>5000</v>
      </c>
      <c r="J221" s="1121">
        <f t="shared" si="47"/>
        <v>5000</v>
      </c>
      <c r="K221" s="1121">
        <f t="shared" si="47"/>
        <v>5000</v>
      </c>
      <c r="L221" s="1121">
        <f t="shared" si="47"/>
        <v>5000</v>
      </c>
      <c r="M221" s="1121">
        <f t="shared" si="47"/>
        <v>5000</v>
      </c>
      <c r="N221" s="1121">
        <f t="shared" si="47"/>
        <v>5000</v>
      </c>
      <c r="O221" s="1121">
        <f t="shared" si="47"/>
        <v>5000</v>
      </c>
      <c r="P221" s="1121">
        <f t="shared" si="47"/>
        <v>5000</v>
      </c>
      <c r="Q221" s="1121">
        <f t="shared" si="47"/>
        <v>5000</v>
      </c>
    </row>
    <row r="222" spans="2:31" x14ac:dyDescent="0.2">
      <c r="F222" s="1099">
        <f t="shared" ref="F222:Q222" si="48">F209+F215-F217-F216</f>
        <v>0</v>
      </c>
      <c r="G222" s="1099">
        <f t="shared" si="48"/>
        <v>5000</v>
      </c>
      <c r="H222" s="1099">
        <f>H209+H215-H217-H216</f>
        <v>5000</v>
      </c>
      <c r="I222" s="1099">
        <f t="shared" si="48"/>
        <v>5000</v>
      </c>
      <c r="J222" s="1099">
        <f t="shared" si="48"/>
        <v>5000</v>
      </c>
      <c r="K222" s="1099">
        <f t="shared" si="48"/>
        <v>5000</v>
      </c>
      <c r="L222" s="1099">
        <f t="shared" si="48"/>
        <v>5000</v>
      </c>
      <c r="M222" s="1099">
        <f t="shared" si="48"/>
        <v>5000</v>
      </c>
      <c r="N222" s="1099">
        <f t="shared" si="48"/>
        <v>5000</v>
      </c>
      <c r="O222" s="1099">
        <f t="shared" si="48"/>
        <v>5000</v>
      </c>
      <c r="P222" s="1099">
        <f t="shared" si="48"/>
        <v>5000</v>
      </c>
      <c r="Q222" s="1099">
        <f t="shared" si="48"/>
        <v>5000</v>
      </c>
    </row>
    <row r="224" spans="2:31" ht="12.75" customHeight="1" x14ac:dyDescent="0.2">
      <c r="B224" s="240" t="s">
        <v>235</v>
      </c>
      <c r="C224" s="13"/>
      <c r="D224" s="380"/>
      <c r="E224" s="499"/>
      <c r="F224" s="353"/>
      <c r="G224" s="364"/>
      <c r="H224" s="372"/>
      <c r="I224" s="372"/>
      <c r="J224" s="372"/>
      <c r="K224" s="372"/>
      <c r="L224" s="372"/>
      <c r="M224" s="372"/>
      <c r="N224" s="372"/>
      <c r="O224" s="372"/>
      <c r="P224" s="372"/>
      <c r="Q224" s="335"/>
    </row>
    <row r="225" spans="2:31" ht="12.75" customHeight="1" x14ac:dyDescent="0.2">
      <c r="B225" s="229" t="s">
        <v>513</v>
      </c>
      <c r="C225" s="13"/>
      <c r="D225" s="1047">
        <f>IF(D21&lt;&gt;0,(0.05*(D21-D14-D68-D70+D235+D237+D238+D240))+(25000*NumberOperatorsValue),0)</f>
        <v>0</v>
      </c>
      <c r="E225" s="567">
        <f t="shared" ref="E225:E238" si="49">SUM(F225:Q225)</f>
        <v>0</v>
      </c>
      <c r="F225" s="570">
        <f>IF(F21&lt;&gt;0,(0.05*(F21-F14-F68-F70+F235+F237+F238+F240))+((25000/(IF(SUM(G21:Q21)&gt;0,12,1))*NumberOperatorsValue)),0)</f>
        <v>0</v>
      </c>
      <c r="G225" s="571">
        <f t="shared" ref="G225:Q225" si="50">IF(G21&lt;&gt;0,(0.05*(G21-G14-G68-G70+G235+G237+G238+G240))+((25000/12)*NumberOperatorsValue),0)</f>
        <v>0</v>
      </c>
      <c r="H225" s="571">
        <f t="shared" si="50"/>
        <v>0</v>
      </c>
      <c r="I225" s="571">
        <f t="shared" si="50"/>
        <v>0</v>
      </c>
      <c r="J225" s="571">
        <f t="shared" si="50"/>
        <v>0</v>
      </c>
      <c r="K225" s="571">
        <f t="shared" si="50"/>
        <v>0</v>
      </c>
      <c r="L225" s="571">
        <f t="shared" si="50"/>
        <v>0</v>
      </c>
      <c r="M225" s="571">
        <f t="shared" si="50"/>
        <v>0</v>
      </c>
      <c r="N225" s="571">
        <f t="shared" si="50"/>
        <v>0</v>
      </c>
      <c r="O225" s="571">
        <f t="shared" si="50"/>
        <v>0</v>
      </c>
      <c r="P225" s="571">
        <f t="shared" si="50"/>
        <v>0</v>
      </c>
      <c r="Q225" s="572">
        <f t="shared" si="50"/>
        <v>0</v>
      </c>
    </row>
    <row r="226" spans="2:31" ht="12.75" customHeight="1" x14ac:dyDescent="0.2">
      <c r="B226" s="242" t="s">
        <v>736</v>
      </c>
      <c r="C226" s="13"/>
      <c r="D226" s="1048">
        <f>schFHedging</f>
        <v>0</v>
      </c>
      <c r="E226" s="567"/>
      <c r="F226" s="570"/>
      <c r="G226" s="571"/>
      <c r="H226" s="571"/>
      <c r="I226" s="571"/>
      <c r="J226" s="571"/>
      <c r="K226" s="571"/>
      <c r="L226" s="571"/>
      <c r="M226" s="571"/>
      <c r="N226" s="571"/>
      <c r="O226" s="571"/>
      <c r="P226" s="571"/>
      <c r="Q226" s="572"/>
    </row>
    <row r="227" spans="2:31" x14ac:dyDescent="0.2">
      <c r="B227" s="478" t="s">
        <v>684</v>
      </c>
      <c r="C227" s="61"/>
      <c r="D227" s="501">
        <f>schFDeprEquip</f>
        <v>0</v>
      </c>
      <c r="E227" s="501">
        <f t="shared" si="49"/>
        <v>0</v>
      </c>
      <c r="F227" s="356"/>
      <c r="G227" s="367"/>
      <c r="H227" s="367"/>
      <c r="I227" s="367"/>
      <c r="J227" s="367"/>
      <c r="K227" s="367"/>
      <c r="L227" s="367"/>
      <c r="M227" s="367"/>
      <c r="N227" s="367"/>
      <c r="O227" s="367"/>
      <c r="P227" s="367"/>
      <c r="Q227" s="339">
        <f>0.1*('Final Balance Sheet'!C20+MCFCapPurchEquipTot-MCFSalesEquipTot)</f>
        <v>0</v>
      </c>
    </row>
    <row r="228" spans="2:31" x14ac:dyDescent="0.2">
      <c r="B228" s="478" t="s">
        <v>277</v>
      </c>
      <c r="C228" s="49"/>
      <c r="D228" s="501">
        <f>schFDeprBrdLvskReplace</f>
        <v>0</v>
      </c>
      <c r="E228" s="501">
        <f t="shared" si="49"/>
        <v>0</v>
      </c>
      <c r="F228" s="356"/>
      <c r="G228" s="367"/>
      <c r="H228" s="367"/>
      <c r="I228" s="367"/>
      <c r="J228" s="367"/>
      <c r="K228" s="367"/>
      <c r="L228" s="367"/>
      <c r="M228" s="367"/>
      <c r="N228" s="367"/>
      <c r="O228" s="367"/>
      <c r="P228" s="367"/>
      <c r="Q228" s="339">
        <f>0.2*(NCPurchBreedLivestockTot+MCFCapPurchLivestockTot-MCFSalesLvskTot)</f>
        <v>0</v>
      </c>
    </row>
    <row r="229" spans="2:31" x14ac:dyDescent="0.2">
      <c r="B229" s="478" t="s">
        <v>278</v>
      </c>
      <c r="C229" s="49"/>
      <c r="D229" s="501">
        <f>schFDeprBldg</f>
        <v>0</v>
      </c>
      <c r="E229" s="501">
        <f t="shared" si="49"/>
        <v>0</v>
      </c>
      <c r="F229" s="356"/>
      <c r="G229" s="367"/>
      <c r="H229" s="367"/>
      <c r="I229" s="367"/>
      <c r="J229" s="367"/>
      <c r="K229" s="367"/>
      <c r="L229" s="367"/>
      <c r="M229" s="367"/>
      <c r="N229" s="367"/>
      <c r="O229" s="367"/>
      <c r="P229" s="367"/>
      <c r="Q229" s="339">
        <f>0.05*('Final Balance Sheet'!C27+MCFCapPurchBuildingsTot-MCFSalesBuildTot)</f>
        <v>0</v>
      </c>
    </row>
    <row r="230" spans="2:31" s="6" customFormat="1" x14ac:dyDescent="0.2">
      <c r="B230" s="1129" t="s">
        <v>827</v>
      </c>
      <c r="C230" s="158"/>
      <c r="D230" s="501">
        <f>schFDeprVeh</f>
        <v>0</v>
      </c>
      <c r="E230" s="501">
        <f>SUM(F230:Q230)</f>
        <v>0</v>
      </c>
      <c r="F230" s="356"/>
      <c r="G230" s="367"/>
      <c r="H230" s="367"/>
      <c r="I230" s="367"/>
      <c r="J230" s="367"/>
      <c r="K230" s="367"/>
      <c r="L230" s="367"/>
      <c r="M230" s="367"/>
      <c r="N230" s="367"/>
      <c r="O230" s="367"/>
      <c r="P230" s="367"/>
      <c r="Q230" s="339">
        <f>0.15*('Final Balance Sheet'!C22+MCFCapPurchVehTot-MCFSalesVehTot)</f>
        <v>0</v>
      </c>
      <c r="T230" s="416"/>
      <c r="U230" s="416"/>
      <c r="V230" s="416"/>
      <c r="W230" s="416"/>
      <c r="X230" s="416"/>
      <c r="Y230" s="416"/>
      <c r="Z230" s="416"/>
      <c r="AA230" s="416"/>
      <c r="AB230" s="416"/>
      <c r="AC230" s="416"/>
      <c r="AD230" s="416"/>
      <c r="AE230" s="416"/>
    </row>
    <row r="231" spans="2:31" s="6" customFormat="1" x14ac:dyDescent="0.2">
      <c r="B231" s="243" t="s">
        <v>517</v>
      </c>
      <c r="C231" s="158"/>
      <c r="D231" s="501">
        <f>schFSaleMach+schFSaleOther</f>
        <v>0</v>
      </c>
      <c r="E231" s="501">
        <f t="shared" si="49"/>
        <v>0</v>
      </c>
      <c r="F231" s="356"/>
      <c r="G231" s="367"/>
      <c r="H231" s="367"/>
      <c r="I231" s="367"/>
      <c r="J231" s="367"/>
      <c r="K231" s="367"/>
      <c r="L231" s="367"/>
      <c r="M231" s="367"/>
      <c r="N231" s="367"/>
      <c r="O231" s="367"/>
      <c r="P231" s="367"/>
      <c r="Q231" s="339">
        <f>MCFSalesEquipTot</f>
        <v>0</v>
      </c>
      <c r="T231" s="416"/>
      <c r="U231" s="416"/>
      <c r="V231" s="416"/>
      <c r="W231" s="416"/>
      <c r="X231" s="416"/>
      <c r="Y231" s="416"/>
      <c r="Z231" s="416"/>
      <c r="AA231" s="416"/>
      <c r="AB231" s="416"/>
      <c r="AC231" s="416"/>
      <c r="AD231" s="416"/>
      <c r="AE231" s="416"/>
    </row>
    <row r="232" spans="2:31" s="6" customFormat="1" x14ac:dyDescent="0.2">
      <c r="B232" s="1129" t="s">
        <v>826</v>
      </c>
      <c r="C232" s="158"/>
      <c r="D232" s="501">
        <f>schFSaleVehicle</f>
        <v>0</v>
      </c>
      <c r="E232" s="501">
        <f t="shared" si="49"/>
        <v>0</v>
      </c>
      <c r="F232" s="356"/>
      <c r="G232" s="367"/>
      <c r="H232" s="367"/>
      <c r="I232" s="367"/>
      <c r="J232" s="367"/>
      <c r="K232" s="367"/>
      <c r="L232" s="367"/>
      <c r="M232" s="367"/>
      <c r="N232" s="367"/>
      <c r="O232" s="367"/>
      <c r="P232" s="367"/>
      <c r="Q232" s="339">
        <f>MCFSalesVehTot</f>
        <v>0</v>
      </c>
      <c r="T232" s="416"/>
      <c r="U232" s="416"/>
      <c r="V232" s="416"/>
      <c r="W232" s="416"/>
      <c r="X232" s="416"/>
      <c r="Y232" s="416"/>
      <c r="Z232" s="416"/>
      <c r="AA232" s="416"/>
      <c r="AB232" s="416"/>
      <c r="AC232" s="416"/>
      <c r="AD232" s="416"/>
      <c r="AE232" s="416"/>
    </row>
    <row r="233" spans="2:31" s="6" customFormat="1" x14ac:dyDescent="0.2">
      <c r="B233" s="241" t="s">
        <v>324</v>
      </c>
      <c r="C233" s="157"/>
      <c r="D233" s="501">
        <f>schFSaleLvsk</f>
        <v>0</v>
      </c>
      <c r="E233" s="501">
        <f t="shared" si="49"/>
        <v>0</v>
      </c>
      <c r="F233" s="356"/>
      <c r="G233" s="367"/>
      <c r="H233" s="367"/>
      <c r="I233" s="367"/>
      <c r="J233" s="367"/>
      <c r="K233" s="367"/>
      <c r="L233" s="367"/>
      <c r="M233" s="367"/>
      <c r="N233" s="367"/>
      <c r="O233" s="367"/>
      <c r="P233" s="367"/>
      <c r="Q233" s="339">
        <f>MCFSalesLvskTot</f>
        <v>0</v>
      </c>
      <c r="T233" s="416"/>
      <c r="U233" s="416"/>
      <c r="V233" s="416"/>
      <c r="W233" s="416"/>
      <c r="X233" s="416"/>
      <c r="Y233" s="416"/>
      <c r="Z233" s="416"/>
      <c r="AA233" s="416"/>
      <c r="AB233" s="416"/>
      <c r="AC233" s="416"/>
      <c r="AD233" s="416"/>
      <c r="AE233" s="416"/>
    </row>
    <row r="234" spans="2:31" s="6" customFormat="1" x14ac:dyDescent="0.2">
      <c r="B234" s="241" t="s">
        <v>279</v>
      </c>
      <c r="C234" s="157"/>
      <c r="D234" s="501">
        <f>schFSaleBldg</f>
        <v>0</v>
      </c>
      <c r="E234" s="501">
        <f t="shared" si="49"/>
        <v>0</v>
      </c>
      <c r="F234" s="356"/>
      <c r="G234" s="367"/>
      <c r="H234" s="367"/>
      <c r="I234" s="367"/>
      <c r="J234" s="367"/>
      <c r="K234" s="367"/>
      <c r="L234" s="367"/>
      <c r="M234" s="367"/>
      <c r="N234" s="367"/>
      <c r="O234" s="367"/>
      <c r="P234" s="367"/>
      <c r="Q234" s="339">
        <f>MCFSalesBuildTot</f>
        <v>0</v>
      </c>
      <c r="T234" s="416"/>
      <c r="U234" s="416"/>
      <c r="V234" s="416"/>
      <c r="W234" s="416"/>
      <c r="X234" s="416"/>
      <c r="Y234" s="416"/>
      <c r="Z234" s="416"/>
      <c r="AA234" s="416"/>
      <c r="AB234" s="416"/>
      <c r="AC234" s="416"/>
      <c r="AD234" s="416"/>
      <c r="AE234" s="416"/>
    </row>
    <row r="235" spans="2:31" x14ac:dyDescent="0.2">
      <c r="B235" s="242" t="s">
        <v>361</v>
      </c>
      <c r="C235" s="55"/>
      <c r="D235" s="1049">
        <f>D68-D231</f>
        <v>0</v>
      </c>
      <c r="E235" s="501">
        <f t="shared" si="49"/>
        <v>0</v>
      </c>
      <c r="F235" s="475">
        <f t="shared" ref="F235:Q235" si="51">F68-F231</f>
        <v>0</v>
      </c>
      <c r="G235" s="476">
        <f t="shared" si="51"/>
        <v>0</v>
      </c>
      <c r="H235" s="476">
        <f t="shared" si="51"/>
        <v>0</v>
      </c>
      <c r="I235" s="476">
        <f t="shared" si="51"/>
        <v>0</v>
      </c>
      <c r="J235" s="476">
        <f t="shared" si="51"/>
        <v>0</v>
      </c>
      <c r="K235" s="476">
        <f t="shared" si="51"/>
        <v>0</v>
      </c>
      <c r="L235" s="476">
        <f t="shared" si="51"/>
        <v>0</v>
      </c>
      <c r="M235" s="476">
        <f t="shared" si="51"/>
        <v>0</v>
      </c>
      <c r="N235" s="476">
        <f t="shared" si="51"/>
        <v>0</v>
      </c>
      <c r="O235" s="476">
        <f t="shared" si="51"/>
        <v>0</v>
      </c>
      <c r="P235" s="476">
        <f t="shared" si="51"/>
        <v>0</v>
      </c>
      <c r="Q235" s="477">
        <f t="shared" si="51"/>
        <v>0</v>
      </c>
    </row>
    <row r="236" spans="2:31" x14ac:dyDescent="0.2">
      <c r="B236" s="242" t="s">
        <v>830</v>
      </c>
      <c r="C236" s="55"/>
      <c r="D236" s="1049">
        <f>D74-D232</f>
        <v>0</v>
      </c>
      <c r="E236" s="501">
        <f t="shared" si="49"/>
        <v>0</v>
      </c>
      <c r="F236" s="475">
        <f t="shared" ref="F236:Q236" si="52">F74-F232</f>
        <v>0</v>
      </c>
      <c r="G236" s="476">
        <f t="shared" si="52"/>
        <v>0</v>
      </c>
      <c r="H236" s="476">
        <f t="shared" si="52"/>
        <v>0</v>
      </c>
      <c r="I236" s="476">
        <f t="shared" si="52"/>
        <v>0</v>
      </c>
      <c r="J236" s="476">
        <f t="shared" si="52"/>
        <v>0</v>
      </c>
      <c r="K236" s="476">
        <f t="shared" si="52"/>
        <v>0</v>
      </c>
      <c r="L236" s="476">
        <f t="shared" si="52"/>
        <v>0</v>
      </c>
      <c r="M236" s="476">
        <f t="shared" si="52"/>
        <v>0</v>
      </c>
      <c r="N236" s="476">
        <f t="shared" si="52"/>
        <v>0</v>
      </c>
      <c r="O236" s="476">
        <f t="shared" si="52"/>
        <v>0</v>
      </c>
      <c r="P236" s="476">
        <f t="shared" si="52"/>
        <v>0</v>
      </c>
      <c r="Q236" s="477">
        <f t="shared" si="52"/>
        <v>0</v>
      </c>
    </row>
    <row r="237" spans="2:31" x14ac:dyDescent="0.2">
      <c r="B237" s="242" t="s">
        <v>362</v>
      </c>
      <c r="C237" s="55"/>
      <c r="D237" s="1049">
        <f>D72-D233</f>
        <v>0</v>
      </c>
      <c r="E237" s="501">
        <f t="shared" si="49"/>
        <v>0</v>
      </c>
      <c r="F237" s="475">
        <f t="shared" ref="F237:O237" si="53">F14-F233</f>
        <v>0</v>
      </c>
      <c r="G237" s="476">
        <f t="shared" si="53"/>
        <v>0</v>
      </c>
      <c r="H237" s="476">
        <f t="shared" si="53"/>
        <v>0</v>
      </c>
      <c r="I237" s="476">
        <f t="shared" si="53"/>
        <v>0</v>
      </c>
      <c r="J237" s="476">
        <f t="shared" si="53"/>
        <v>0</v>
      </c>
      <c r="K237" s="476">
        <f t="shared" si="53"/>
        <v>0</v>
      </c>
      <c r="L237" s="476">
        <f t="shared" si="53"/>
        <v>0</v>
      </c>
      <c r="M237" s="476">
        <f t="shared" si="53"/>
        <v>0</v>
      </c>
      <c r="N237" s="476">
        <f t="shared" si="53"/>
        <v>0</v>
      </c>
      <c r="O237" s="476">
        <f t="shared" si="53"/>
        <v>0</v>
      </c>
      <c r="P237" s="476">
        <f>P72-P233</f>
        <v>0</v>
      </c>
      <c r="Q237" s="477">
        <f>Q14-Q233</f>
        <v>0</v>
      </c>
    </row>
    <row r="238" spans="2:31" x14ac:dyDescent="0.2">
      <c r="B238" s="556" t="s">
        <v>363</v>
      </c>
      <c r="C238" s="157"/>
      <c r="D238" s="1049">
        <f>D70-D234</f>
        <v>0</v>
      </c>
      <c r="E238" s="501">
        <f t="shared" si="49"/>
        <v>0</v>
      </c>
      <c r="F238" s="475">
        <f t="shared" ref="F238:Q238" si="54">F70-F234</f>
        <v>0</v>
      </c>
      <c r="G238" s="476">
        <f t="shared" si="54"/>
        <v>0</v>
      </c>
      <c r="H238" s="476">
        <f t="shared" si="54"/>
        <v>0</v>
      </c>
      <c r="I238" s="476">
        <f t="shared" si="54"/>
        <v>0</v>
      </c>
      <c r="J238" s="476">
        <f t="shared" si="54"/>
        <v>0</v>
      </c>
      <c r="K238" s="476">
        <f t="shared" si="54"/>
        <v>0</v>
      </c>
      <c r="L238" s="476">
        <f t="shared" si="54"/>
        <v>0</v>
      </c>
      <c r="M238" s="476">
        <f t="shared" si="54"/>
        <v>0</v>
      </c>
      <c r="N238" s="476">
        <f t="shared" si="54"/>
        <v>0</v>
      </c>
      <c r="O238" s="476">
        <f t="shared" si="54"/>
        <v>0</v>
      </c>
      <c r="P238" s="476">
        <f t="shared" si="54"/>
        <v>0</v>
      </c>
      <c r="Q238" s="477">
        <f t="shared" si="54"/>
        <v>0</v>
      </c>
    </row>
    <row r="239" spans="2:31" x14ac:dyDescent="0.2">
      <c r="B239" s="556" t="s">
        <v>388</v>
      </c>
      <c r="C239" s="157"/>
      <c r="D239" s="1049">
        <f>schFCropInvChange</f>
        <v>0</v>
      </c>
      <c r="E239" s="501">
        <f>IF(E21&lt;&gt;0,SUM(F239:Q239),0)</f>
        <v>0</v>
      </c>
      <c r="F239" s="475"/>
      <c r="G239" s="476"/>
      <c r="H239" s="476"/>
      <c r="I239" s="476"/>
      <c r="J239" s="476"/>
      <c r="K239" s="476"/>
      <c r="L239" s="476"/>
      <c r="M239" s="476"/>
      <c r="N239" s="476"/>
      <c r="O239" s="476"/>
      <c r="P239" s="476"/>
      <c r="Q239" s="477">
        <f>(InvCropsEntry+InvLivestockEntry-InvProjCropsEntryProj-InvProjLivestockEntryProj)*-1</f>
        <v>0</v>
      </c>
    </row>
    <row r="240" spans="2:31" x14ac:dyDescent="0.2">
      <c r="B240" s="556" t="s">
        <v>389</v>
      </c>
      <c r="C240" s="157"/>
      <c r="D240" s="1049">
        <f>D239+'Schedule F Cash to Accrual'!H19+'Schedule F Cash to Accrual'!H20+'Schedule F Cash to Accrual'!H21+'Schedule F Cash to Accrual'!H23-'Schedule F Cash to Accrual'!H31-'Schedule F Cash to Accrual'!H32-'Schedule F Cash to Accrual'!H34-'Schedule F Cash to Accrual'!H35+'Schedule F Cash to Accrual'!H22</f>
        <v>0</v>
      </c>
      <c r="E240" s="501">
        <f>IF(E21&lt;&gt;0,SUM(F240:Q240),0)</f>
        <v>0</v>
      </c>
      <c r="F240" s="475">
        <f t="shared" ref="F240:P240" si="55">F239</f>
        <v>0</v>
      </c>
      <c r="G240" s="476">
        <f t="shared" si="55"/>
        <v>0</v>
      </c>
      <c r="H240" s="476">
        <f t="shared" si="55"/>
        <v>0</v>
      </c>
      <c r="I240" s="476">
        <f t="shared" si="55"/>
        <v>0</v>
      </c>
      <c r="J240" s="476">
        <f t="shared" si="55"/>
        <v>0</v>
      </c>
      <c r="K240" s="476">
        <f t="shared" si="55"/>
        <v>0</v>
      </c>
      <c r="L240" s="476">
        <f t="shared" si="55"/>
        <v>0</v>
      </c>
      <c r="M240" s="476">
        <f t="shared" si="55"/>
        <v>0</v>
      </c>
      <c r="N240" s="476">
        <f t="shared" si="55"/>
        <v>0</v>
      </c>
      <c r="O240" s="476">
        <f t="shared" si="55"/>
        <v>0</v>
      </c>
      <c r="P240" s="476">
        <f t="shared" si="55"/>
        <v>0</v>
      </c>
      <c r="Q240" s="477">
        <f>(Year1AccrInt-Year2AccrIntProj)+Q239</f>
        <v>0</v>
      </c>
    </row>
    <row r="241" spans="1:31" x14ac:dyDescent="0.2">
      <c r="B241" s="238"/>
      <c r="C241" s="10"/>
      <c r="D241" s="382"/>
      <c r="E241" s="506"/>
      <c r="F241" s="356"/>
      <c r="G241" s="367"/>
      <c r="H241" s="367"/>
      <c r="I241" s="367"/>
      <c r="J241" s="367"/>
      <c r="K241" s="367"/>
      <c r="L241" s="367"/>
      <c r="M241" s="367"/>
      <c r="N241" s="367"/>
      <c r="O241" s="367"/>
      <c r="P241" s="367"/>
      <c r="Q241" s="339"/>
    </row>
    <row r="242" spans="1:31" ht="13.5" thickBot="1" x14ac:dyDescent="0.25">
      <c r="B242" s="492" t="s">
        <v>236</v>
      </c>
      <c r="C242" s="493"/>
      <c r="D242" s="494">
        <f>(D21+D14-D14-D68-D70-D72-D65+D69+D73+D71+D240-D227-D228-D229+D235+D237+D238)-D226</f>
        <v>0</v>
      </c>
      <c r="E242" s="507">
        <f t="shared" ref="E242:Q242" si="56">(E21-E14-E68-E70-E65+E69+E73+E71+E240-E227-E228-E229+E235+E237+E238)</f>
        <v>0</v>
      </c>
      <c r="F242" s="495">
        <f t="shared" si="56"/>
        <v>0</v>
      </c>
      <c r="G242" s="496">
        <f t="shared" si="56"/>
        <v>0</v>
      </c>
      <c r="H242" s="496">
        <f t="shared" si="56"/>
        <v>0</v>
      </c>
      <c r="I242" s="496">
        <f t="shared" si="56"/>
        <v>0</v>
      </c>
      <c r="J242" s="496">
        <f t="shared" si="56"/>
        <v>0</v>
      </c>
      <c r="K242" s="496">
        <f t="shared" si="56"/>
        <v>0</v>
      </c>
      <c r="L242" s="496">
        <f t="shared" si="56"/>
        <v>0</v>
      </c>
      <c r="M242" s="496">
        <f t="shared" si="56"/>
        <v>0</v>
      </c>
      <c r="N242" s="496">
        <f t="shared" si="56"/>
        <v>0</v>
      </c>
      <c r="O242" s="496">
        <f t="shared" si="56"/>
        <v>0</v>
      </c>
      <c r="P242" s="496">
        <f t="shared" si="56"/>
        <v>0</v>
      </c>
      <c r="Q242" s="497">
        <f t="shared" si="56"/>
        <v>0</v>
      </c>
    </row>
    <row r="245" spans="1:31" ht="12.75" customHeight="1" x14ac:dyDescent="0.2">
      <c r="B245" s="240" t="s">
        <v>217</v>
      </c>
      <c r="C245" s="13"/>
      <c r="D245" s="380"/>
      <c r="E245" s="499"/>
      <c r="F245" s="364"/>
      <c r="G245" s="364"/>
      <c r="H245" s="372"/>
      <c r="I245" s="372"/>
      <c r="J245" s="372"/>
      <c r="K245" s="372"/>
      <c r="L245" s="372"/>
      <c r="M245" s="372"/>
      <c r="N245" s="372"/>
      <c r="O245" s="372"/>
      <c r="P245" s="372"/>
      <c r="Q245" s="335"/>
      <c r="T245" s="416"/>
    </row>
    <row r="246" spans="1:31" ht="12.75" customHeight="1" x14ac:dyDescent="0.2">
      <c r="A246" s="3" t="s">
        <v>430</v>
      </c>
      <c r="B246" s="229" t="s">
        <v>513</v>
      </c>
      <c r="C246" s="13"/>
      <c r="D246" s="573">
        <f>IF(D103&lt;&gt;0,IF(HowSell="Direct to Processor",0,(0.05*(D103-D131+D250))+(25000*NumberOperatorsValue)),0)</f>
        <v>0</v>
      </c>
      <c r="E246" s="567">
        <f>SUM(F246:Q246)</f>
        <v>0</v>
      </c>
      <c r="F246" s="573">
        <f>IF(F103&lt;&gt;0,IF(HowSell="Direct to Processor",0,(0.05*(F103-F131+F250))+((25000/(IF(SUM(G103:P103),12,1))*NumberOperatorsValue))),0)</f>
        <v>0</v>
      </c>
      <c r="G246" s="568">
        <f t="shared" ref="G246:Q246" si="57">IF(G103&lt;&gt;0,IF(HowSell="Direct to Processor",0,(0.05*(G103-G131+G250))+((25000/12)*NumberOperatorsValue)),0)</f>
        <v>0</v>
      </c>
      <c r="H246" s="568">
        <f t="shared" si="57"/>
        <v>0</v>
      </c>
      <c r="I246" s="568">
        <f t="shared" si="57"/>
        <v>0</v>
      </c>
      <c r="J246" s="568">
        <f t="shared" si="57"/>
        <v>0</v>
      </c>
      <c r="K246" s="568">
        <f t="shared" si="57"/>
        <v>0</v>
      </c>
      <c r="L246" s="568">
        <f t="shared" si="57"/>
        <v>0</v>
      </c>
      <c r="M246" s="568">
        <f t="shared" si="57"/>
        <v>0</v>
      </c>
      <c r="N246" s="568">
        <f t="shared" si="57"/>
        <v>0</v>
      </c>
      <c r="O246" s="568">
        <f t="shared" si="57"/>
        <v>0</v>
      </c>
      <c r="P246" s="568">
        <f t="shared" si="57"/>
        <v>0</v>
      </c>
      <c r="Q246" s="569">
        <f t="shared" si="57"/>
        <v>0</v>
      </c>
      <c r="T246" s="416"/>
    </row>
    <row r="247" spans="1:31" ht="12.75" customHeight="1" x14ac:dyDescent="0.2">
      <c r="A247" s="3" t="s">
        <v>430</v>
      </c>
      <c r="B247" s="242" t="s">
        <v>396</v>
      </c>
      <c r="C247" s="13"/>
      <c r="D247" s="584"/>
      <c r="E247" s="567">
        <f>SUM(F247:Q247)</f>
        <v>0</v>
      </c>
      <c r="F247" s="573"/>
      <c r="G247" s="568"/>
      <c r="H247" s="568"/>
      <c r="I247" s="568"/>
      <c r="J247" s="568"/>
      <c r="K247" s="568"/>
      <c r="L247" s="568"/>
      <c r="M247" s="568"/>
      <c r="N247" s="568"/>
      <c r="O247" s="568"/>
      <c r="P247" s="568"/>
      <c r="Q247" s="569">
        <f>IF(HowSell="Direct to Processor",0,InvOtherEntry-InvProjOthEntryProj)*-1</f>
        <v>0</v>
      </c>
      <c r="T247" s="416"/>
    </row>
    <row r="248" spans="1:31" ht="12.75" customHeight="1" x14ac:dyDescent="0.2">
      <c r="A248" s="56"/>
      <c r="B248" s="242" t="s">
        <v>275</v>
      </c>
      <c r="C248" s="55"/>
      <c r="D248" s="373"/>
      <c r="E248" s="501">
        <f>SUM(F248:Q248)</f>
        <v>0</v>
      </c>
      <c r="F248" s="362"/>
      <c r="G248" s="362"/>
      <c r="H248" s="362"/>
      <c r="I248" s="362"/>
      <c r="J248" s="362"/>
      <c r="K248" s="362"/>
      <c r="L248" s="362"/>
      <c r="M248" s="362"/>
      <c r="N248" s="362"/>
      <c r="O248" s="362"/>
      <c r="P248" s="362"/>
      <c r="Q248" s="331">
        <f>0.1*(MCFDMCapPurchTot-MCFDMEquipSaleTot)</f>
        <v>0</v>
      </c>
      <c r="T248" s="416"/>
    </row>
    <row r="249" spans="1:31" ht="12" customHeight="1" x14ac:dyDescent="0.2">
      <c r="A249" s="56"/>
      <c r="B249" s="241" t="s">
        <v>276</v>
      </c>
      <c r="C249" s="157"/>
      <c r="D249" s="373"/>
      <c r="E249" s="501">
        <f>SUM(F249:Q249)</f>
        <v>1</v>
      </c>
      <c r="F249" s="362"/>
      <c r="G249" s="362"/>
      <c r="H249" s="362"/>
      <c r="I249" s="362"/>
      <c r="J249" s="362"/>
      <c r="K249" s="362"/>
      <c r="L249" s="362"/>
      <c r="M249" s="362"/>
      <c r="N249" s="362"/>
      <c r="O249" s="362"/>
      <c r="P249" s="362"/>
      <c r="Q249" s="331">
        <f>MCFDMEquipSaleTot</f>
        <v>1</v>
      </c>
      <c r="T249" s="416"/>
    </row>
    <row r="250" spans="1:31" ht="12" customHeight="1" x14ac:dyDescent="0.2">
      <c r="A250" s="56"/>
      <c r="B250" s="242" t="s">
        <v>502</v>
      </c>
      <c r="C250" s="55"/>
      <c r="D250" s="479">
        <f>D131-D249</f>
        <v>0</v>
      </c>
      <c r="E250" s="501">
        <f>SUM(F250:Q250)</f>
        <v>0</v>
      </c>
      <c r="F250" s="476">
        <f t="shared" ref="F250:Q250" si="58">F131-F249</f>
        <v>1</v>
      </c>
      <c r="G250" s="476">
        <f t="shared" si="58"/>
        <v>0</v>
      </c>
      <c r="H250" s="476">
        <f t="shared" si="58"/>
        <v>0</v>
      </c>
      <c r="I250" s="476">
        <f t="shared" si="58"/>
        <v>0</v>
      </c>
      <c r="J250" s="476">
        <f t="shared" si="58"/>
        <v>0</v>
      </c>
      <c r="K250" s="476">
        <f t="shared" si="58"/>
        <v>0</v>
      </c>
      <c r="L250" s="476">
        <f t="shared" si="58"/>
        <v>0</v>
      </c>
      <c r="M250" s="476">
        <f t="shared" si="58"/>
        <v>0</v>
      </c>
      <c r="N250" s="476">
        <f t="shared" si="58"/>
        <v>0</v>
      </c>
      <c r="O250" s="476">
        <f t="shared" si="58"/>
        <v>0</v>
      </c>
      <c r="P250" s="476">
        <f t="shared" si="58"/>
        <v>0</v>
      </c>
      <c r="Q250" s="477">
        <f t="shared" si="58"/>
        <v>-1</v>
      </c>
      <c r="T250" s="416"/>
    </row>
    <row r="251" spans="1:31" s="6" customFormat="1" x14ac:dyDescent="0.2">
      <c r="A251" s="6" t="s">
        <v>430</v>
      </c>
      <c r="B251" s="240"/>
      <c r="C251" s="13"/>
      <c r="D251" s="380"/>
      <c r="E251" s="499"/>
      <c r="F251" s="364"/>
      <c r="G251" s="364"/>
      <c r="H251" s="372"/>
      <c r="I251" s="372"/>
      <c r="J251" s="372"/>
      <c r="K251" s="372"/>
      <c r="L251" s="372"/>
      <c r="M251" s="372"/>
      <c r="N251" s="372"/>
      <c r="O251" s="372"/>
      <c r="P251" s="372"/>
      <c r="Q251" s="335"/>
      <c r="T251" s="416"/>
      <c r="U251" s="416"/>
      <c r="V251" s="416"/>
      <c r="W251" s="416"/>
      <c r="X251" s="416"/>
      <c r="Y251" s="416"/>
      <c r="Z251" s="416"/>
      <c r="AA251" s="416"/>
      <c r="AB251" s="416"/>
      <c r="AC251" s="416"/>
      <c r="AD251" s="416"/>
      <c r="AE251" s="416"/>
    </row>
    <row r="252" spans="1:31" ht="12" customHeight="1" thickBot="1" x14ac:dyDescent="0.25">
      <c r="B252" s="239" t="s">
        <v>120</v>
      </c>
      <c r="C252" s="161"/>
      <c r="D252" s="385">
        <f t="shared" ref="D252:Q252" si="59">IF(HowSell="Direct to Processor",0,D103-D127-D131+D132-D247-D248+D250)</f>
        <v>0</v>
      </c>
      <c r="E252" s="505">
        <f t="shared" si="59"/>
        <v>0</v>
      </c>
      <c r="F252" s="366">
        <f t="shared" si="59"/>
        <v>0</v>
      </c>
      <c r="G252" s="366">
        <f t="shared" si="59"/>
        <v>0</v>
      </c>
      <c r="H252" s="366">
        <f t="shared" si="59"/>
        <v>0</v>
      </c>
      <c r="I252" s="366">
        <f t="shared" si="59"/>
        <v>0</v>
      </c>
      <c r="J252" s="366">
        <f t="shared" si="59"/>
        <v>0</v>
      </c>
      <c r="K252" s="366">
        <f t="shared" si="59"/>
        <v>0</v>
      </c>
      <c r="L252" s="366">
        <f t="shared" si="59"/>
        <v>0</v>
      </c>
      <c r="M252" s="366">
        <f t="shared" si="59"/>
        <v>0</v>
      </c>
      <c r="N252" s="366">
        <f t="shared" si="59"/>
        <v>0</v>
      </c>
      <c r="O252" s="366">
        <f t="shared" si="59"/>
        <v>0</v>
      </c>
      <c r="P252" s="366">
        <f t="shared" si="59"/>
        <v>0</v>
      </c>
      <c r="Q252" s="338">
        <f t="shared" si="59"/>
        <v>0</v>
      </c>
      <c r="T252" s="416"/>
    </row>
    <row r="253" spans="1:31" ht="13.5" thickTop="1" x14ac:dyDescent="0.2"/>
  </sheetData>
  <sheetProtection algorithmName="SHA-512" hashValue="nTj7GGp5glv8XRvAqQAwEeFpoGqdS2jPRmoiEogB/MuebwP+ZJXwM+/DIiAWuPzPHCfwVaPnSE+9yyJm5CZIwg==" saltValue="jHWP/qTA99OPi9zBQNCatA==" spinCount="100000" sheet="1" objects="1" scenarios="1"/>
  <mergeCells count="6">
    <mergeCell ref="B211:C211"/>
    <mergeCell ref="B2:G3"/>
    <mergeCell ref="B4:G4"/>
    <mergeCell ref="E5:G5"/>
    <mergeCell ref="B92:B93"/>
    <mergeCell ref="B146:B148"/>
  </mergeCells>
  <phoneticPr fontId="11" type="noConversion"/>
  <conditionalFormatting sqref="B189:Q195 B149:Q160 C161:Q182 C183 E183:Q183 C185 E185:Q185 C186:Q188">
    <cfRule type="expression" dxfId="22" priority="25">
      <formula>ProjPersonal="Just Business Income and Expenses"</formula>
    </cfRule>
  </conditionalFormatting>
  <conditionalFormatting sqref="B161:B183 B185:B188">
    <cfRule type="expression" dxfId="21" priority="20">
      <formula>ProjPersonal="Just Business Income and Expenses"</formula>
    </cfRule>
  </conditionalFormatting>
  <conditionalFormatting sqref="B208 F208:Q208">
    <cfRule type="expression" dxfId="20" priority="14">
      <formula>ProjPersonal="Just Business Income and Expenses"</formula>
    </cfRule>
  </conditionalFormatting>
  <conditionalFormatting sqref="C184 E184:Q184">
    <cfRule type="expression" dxfId="19" priority="6">
      <formula>ProjPersonal="Just Business Income and Expenses"</formula>
    </cfRule>
  </conditionalFormatting>
  <conditionalFormatting sqref="B184">
    <cfRule type="expression" dxfId="18" priority="5">
      <formula>ProjPersonal="Just Business Income and Expenses"</formula>
    </cfRule>
  </conditionalFormatting>
  <conditionalFormatting sqref="D183:D185">
    <cfRule type="expression" dxfId="17" priority="4">
      <formula>ProjPersonal="Just Business Income and Expenses"</formula>
    </cfRule>
  </conditionalFormatting>
  <conditionalFormatting sqref="F199:Q199">
    <cfRule type="cellIs" dxfId="16" priority="3" operator="lessThan">
      <formula>0</formula>
    </cfRule>
  </conditionalFormatting>
  <dataValidations count="25">
    <dataValidation allowBlank="1" showInputMessage="1" showErrorMessage="1" prompt="Sales to processors" sqref="U100:XFD100 S154:XFD154 S10:XFD10 A10 C10" xr:uid="{00000000-0002-0000-0B00-000000000000}"/>
    <dataValidation allowBlank="1" showInputMessage="1" showErrorMessage="1" prompt="Processed fish that you market directly to someone other than a processor" sqref="S11:XFD11 S155:XFD155 A11 C11 U131:XFD131 U101:XFD103" xr:uid="{00000000-0002-0000-0B00-000001000000}"/>
    <dataValidation type="custom" allowBlank="1" showInputMessage="1" showErrorMessage="1" errorTitle="No Personal Details" error="You told us you only wanted to enter business income &amp; expenses._x000a__x000a_To enter personal expenses, click on the blue button to change your answer." sqref="F193:Q193 E159:Q160 D193:E195 E190:Q191 B208 D189:D191 D149:Q150 D158:D160 B149:C195" xr:uid="{00000000-0002-0000-0B00-000002000000}">
      <formula1>ProjPersonal&lt;&gt;"Just Business Income and Expenses"</formula1>
    </dataValidation>
    <dataValidation allowBlank="1" showInputMessage="1" showErrorMessage="1" errorTitle="No Personal Details" error="You told us you only wanted to enter business income &amp; expenses._x000a__x000a_To enter personal expenses, click on the blue button to change your answer." sqref="B199:E199 B210 B204" xr:uid="{00000000-0002-0000-0B00-000003000000}"/>
    <dataValidation type="custom" allowBlank="1" showInputMessage="1" showErrorMessage="1" error="You told us that you only sold directly to processors.  Click the blue button next to &quot;Direct Marketing Income &amp; Costs&quot; to go back to make this change if you need this section." sqref="D116:D118 E117:Q118 E126:Q126 D95:Q96 D104:Q105 B252:D252 B251:Q251 B144:E144 B141:Q141 B143:Q143 B142:C142 B248:C248 B250:C250 B145:Q145 B207 B247 D247:Q247 D245:Q245 C245:C247 B245 B130:C131 B133:D134 C132 D125:D128 D130 C214 B95:C128 C139 B140:D140 B135 B137:C138 C136:D136" xr:uid="{00000000-0002-0000-0B00-000004000000}">
      <formula1>HowSell&lt;&gt;"Direct to Processor"</formula1>
    </dataValidation>
    <dataValidation type="custom" allowBlank="1" showInputMessage="1" showErrorMessage="1" error="You told us that you only sold directly to processors.  Click the blue button next to &quot;Direct Marketing Income &amp; Costs&quot; to go back to make this change if you need this section." prompt="To calculate gain, enter the cash sales and the balance sheet value in the additional information section." sqref="E250" xr:uid="{00000000-0002-0000-0B00-000005000000}">
      <formula1>HowSell&lt;&gt;"Direct to Processor"</formula1>
    </dataValidation>
    <dataValidation type="custom" allowBlank="1" showInputMessage="1" error="You told us that you only sold directly to processors.  Click the blue button next to &quot;Direct Marketing Income &amp; Costs&quot; to go back to make this change if you need this section." sqref="F106:Q115 D248 F248:Q248 D106:D115 D97:D102 F97:Q102 F131:Q132 D131:D132 D214 D119:D124 F138:Q138 F119:Q124 D137:D139 Q130" xr:uid="{00000000-0002-0000-0B00-000006000000}">
      <formula1>HowSell&lt;&gt;"Direct to Processor"</formula1>
    </dataValidation>
    <dataValidation type="custom" allowBlank="1" showInputMessage="1" showErrorMessage="1" error="This is a calculated field.  Enter the sales and balance sheet values in the additional information section." prompt="To calculate gain, enter the cash sales and the balance sheet value in the additional information section." sqref="F250:Q250 D250" xr:uid="{00000000-0002-0000-0B00-000007000000}">
      <formula1>HowSell&lt;&gt;"Direct to Processor"</formula1>
    </dataValidation>
    <dataValidation type="custom" allowBlank="1" showInputMessage="1" errorTitle="No Personal Details" error="You told us you only wanted to enter business income &amp; expenses._x000a__x000a_To enter personal expenses, click on the blue button to change your answer." sqref="D151:D157 F157:Q157 F186:Q188 F161:Q180 F151:Q153 D161:D188" xr:uid="{00000000-0002-0000-0B00-000008000000}">
      <formula1>ProjPersonal&lt;&gt;"Just Business Income and Expenses"</formula1>
    </dataValidation>
    <dataValidation type="custom" allowBlank="1" showInputMessage="1" showErrorMessage="1" errorTitle="You only sell to processor" error="In general information, you marked that you only sell your catch directly to processors.  To change this, click the blue button next to &quot;Direct Marketing Income and Costs&quot;" sqref="B132 B214 B139" xr:uid="{00000000-0002-0000-0B00-000009000000}">
      <formula1>HowSell&lt;&gt;"Direct to Processor"</formula1>
    </dataValidation>
    <dataValidation type="custom" allowBlank="1" showInputMessage="1" error="You told us that you only sold directly to processors.  Click the blue button next to &quot;Direct Marketing Income &amp; Costs&quot; to go back to make this change if you need this section." sqref="E24:E50 E77 D240 F83:Q83 E227:E228 E73 E69 E71 E217:Q217 E219 E54:E62 F213:Q213 E82:E84 E86 E212:E213 E215:Q215 F235:Q237 E238:Q240 D235:D238 E230:E237" xr:uid="{00000000-0002-0000-0B00-00000A000000}">
      <formula1>HowSell&lt;&gt;"Direct to Consumer"</formula1>
    </dataValidation>
    <dataValidation allowBlank="1" showInputMessage="1" error="You told us that you only sold directly to processors.  Click the blue button next to &quot;Direct Marketing Income &amp; Costs&quot; to go back to make this change if you need this section." prompt="Enter the amount that your crop inventories, prepaids and accounts receivables changed from last year's income statement." sqref="D239" xr:uid="{00000000-0002-0000-0B00-00000B000000}"/>
    <dataValidation allowBlank="1" showInputMessage="1" error="You told us that you only sold directly to processors.  Click the blue button next to &quot;Direct Marketing Income &amp; Costs&quot; to go back to make this change if you need this section." prompt="Enter the economic depreciation from last year. For equipment we suggest 10%. For vehicles we suggest 15%." sqref="D227 F227:Q227" xr:uid="{00000000-0002-0000-0B00-00000C000000}"/>
    <dataValidation allowBlank="1" showInputMessage="1" error="You told us that you only sold directly to processors.  Click the blue button next to &quot;Direct Marketing Income &amp; Costs&quot; to go back to make this change if you need this section." prompt="Enter the economic depreciation from last year. For buildings we suggest 5%." sqref="D229:Q229" xr:uid="{00000000-0002-0000-0B00-00000D000000}"/>
    <dataValidation type="custom" allowBlank="1" showInputMessage="1" errorTitle="No Personal Details" error="You told us you only wanted to enter business income &amp; expenses._x000a__x000a_To enter personal expenses, click on the blue button to change your answer." prompt="These values will flow from the loans you entered for your balance sheet as well as any new loans you entered in the &quot;Proposed Loans&quot; section." sqref="F154:Q156 F181:Q185" xr:uid="{00000000-0002-0000-0B00-00000E000000}">
      <formula1>ProjPersonal&lt;&gt;"Just Business Income and Expenses"</formula1>
    </dataValidation>
    <dataValidation allowBlank="1" showInputMessage="1" error="You told us that you only sold directly to processors.  Click the blue button next to &quot;Direct Marketing Income &amp; Costs&quot; to go back to make this change if you need this section." sqref="F24:Q50 D24:D50 F228:Q228 D228 D10:D20 F10:Q20 F54:Q62 D215:D217 D219 D54:D62 D82:D84 D86 D212:D213 D68:D77 F68:Q77 F231:Q234 D230:D234" xr:uid="{00000000-0002-0000-0B00-00000F000000}"/>
    <dataValidation type="custom" allowBlank="1" showInputMessage="1" showErrorMessage="1" error="You told us that you only sold directly to processors.  Click the blue button next to &quot;Direct Marketing Income &amp; Costs&quot; to go back to make this change if you need this section." prompt="The Value of Labor &amp; Management is a non-cash cost that is used in determining Return on Assets, Return on Equity and other profitability measures. Think of it as &quot;How much would I charge if I were running this business for someone else?&quot;" sqref="B246 D246:Q246" xr:uid="{00000000-0002-0000-0B00-000010000000}">
      <formula1>HowSell&lt;&gt;"Direct to Processor"</formula1>
    </dataValidation>
    <dataValidation allowBlank="1" showInputMessage="1" showErrorMessage="1" prompt="The Value of Labor &amp; Management is a non-cash cost that is used in determining Return on Assets, Return on Equity and other profitability measures. Think of it as &quot;How much would I charge if I were running this business for someone else?&quot;" sqref="B225:Q226" xr:uid="{00000000-0002-0000-0B00-000011000000}"/>
    <dataValidation allowBlank="1" showInputMessage="1" showErrorMessage="1" prompt="Vegetable or fruit sales made to a processor" sqref="B11" xr:uid="{00000000-0002-0000-0B00-000012000000}"/>
    <dataValidation allowBlank="1" showInputMessage="1" showErrorMessage="1" prompt="Crop sales to processor, cooperative, etc." sqref="B10" xr:uid="{00000000-0002-0000-0B00-000013000000}"/>
    <dataValidation allowBlank="1" showInputMessage="1" showErrorMessage="1" prompt="Livestock product (milk, eggs, etc) sales made to processor, cooperative, etc." sqref="B13" xr:uid="{00000000-0002-0000-0B00-000014000000}"/>
    <dataValidation type="custom" allowBlank="1" showInputMessage="1" error="You told us that you only sold directly to processors.  Click the blue button next to &quot;Direct Marketing Income &amp; Costs&quot; to go back to make this change if you need this section." prompt="These values will flow from the loans you entered for your balance sheet as well as any new loans you entered in the &quot;Proposed Loans&quot; section." sqref="F212:Q213 F86:Q86 F82:Q82 F84:Q84 F219:Q219 F215:Q217" xr:uid="{00000000-0002-0000-0B00-000015000000}">
      <formula1>HowSell&lt;&gt;"Direct to Consumer"</formula1>
    </dataValidation>
    <dataValidation type="custom" allowBlank="1" showInputMessage="1" error="You told us that you only sold directly to processors.  Click the blue button next to &quot;Direct Marketing Income &amp; Costs&quot; to go back to make this change if you need this section." prompt="These values will flow from the loans you entered for your balance sheet as well as any new loans you entered in the &quot;Proposed Loans&quot; section." sqref="F139:Q139 F137:Q137" xr:uid="{00000000-0002-0000-0B00-000016000000}">
      <formula1>HowSell&lt;&gt;"Direct to Processor"</formula1>
    </dataValidation>
    <dataValidation type="custom" allowBlank="1" error="You told us that you only sold directly to processors.  Click the blue button next to &quot;Direct Marketing Income &amp; Costs&quot; to go back to make this change if you need this section." prompt="These values will flow from the loans you entered for your balance sheet as well as any new loans you entered in the &quot;Proposed Loans&quot; section." sqref="F214:Q214" xr:uid="{00000000-0002-0000-0B00-000017000000}">
      <formula1>HowSell&lt;&gt;"Direct to Processor"</formula1>
    </dataValidation>
    <dataValidation allowBlank="1" showInputMessage="1" error="You told us that you only sold directly to processors.  Click the blue button next to &quot;Direct Marketing Income &amp; Costs&quot; to go back to make this change if you need this section." prompt="Enter the economic depreciation from last year. For buildings we suggest 15%." sqref="F230:Q230" xr:uid="{00000000-0002-0000-0B00-000018000000}"/>
  </dataValidations>
  <pageMargins left="0.25" right="0.25" top="0.5" bottom="0.25" header="0.3" footer="0.3"/>
  <pageSetup pageOrder="overThenDown" orientation="landscape" horizontalDpi="1800" verticalDpi="1800" r:id="rId1"/>
  <headerFooter alignWithMargins="0"/>
  <rowBreaks count="5" manualBreakCount="5">
    <brk id="21" max="16383" man="1"/>
    <brk id="65" max="16383" man="1"/>
    <brk id="94" max="16383" man="1"/>
    <brk id="148" max="16383" man="1"/>
    <brk id="222" max="16383" man="1"/>
  </rowBreaks>
  <colBreaks count="2" manualBreakCount="2">
    <brk id="9" max="1048575" man="1"/>
    <brk id="1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44737" r:id="rId4" name="Drop Down 1">
              <controlPr locked="0" defaultSize="0" print="0" autoLine="0" autoPict="0">
                <anchor moveWithCells="1">
                  <from>
                    <xdr:col>1</xdr:col>
                    <xdr:colOff>2895600</xdr:colOff>
                    <xdr:row>145</xdr:row>
                    <xdr:rowOff>47625</xdr:rowOff>
                  </from>
                  <to>
                    <xdr:col>5</xdr:col>
                    <xdr:colOff>0</xdr:colOff>
                    <xdr:row>147</xdr:row>
                    <xdr:rowOff>38100</xdr:rowOff>
                  </to>
                </anchor>
              </controlPr>
            </control>
          </mc:Choice>
        </mc:AlternateContent>
        <mc:AlternateContent xmlns:mc="http://schemas.openxmlformats.org/markup-compatibility/2006">
          <mc:Choice Requires="x14">
            <control shapeId="244738" r:id="rId5" name="Drop Down 2">
              <controlPr locked="0" defaultSize="0" print="0" autoLine="0" autoPict="0">
                <anchor moveWithCells="1">
                  <from>
                    <xdr:col>1</xdr:col>
                    <xdr:colOff>2905125</xdr:colOff>
                    <xdr:row>91</xdr:row>
                    <xdr:rowOff>85725</xdr:rowOff>
                  </from>
                  <to>
                    <xdr:col>5</xdr:col>
                    <xdr:colOff>0</xdr:colOff>
                    <xdr:row>93</xdr:row>
                    <xdr:rowOff>104775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8" id="{46127A78-A023-4997-B8DB-982509E5CEA8}">
            <xm:f>'Gen Info'!$K$17="Direct to Processor"</xm:f>
            <x14:dxf>
              <font>
                <color theme="0" tint="-0.499984740745262"/>
              </font>
              <fill>
                <patternFill>
                  <bgColor theme="0" tint="-0.34998626667073579"/>
                </patternFill>
              </fill>
            </x14:dxf>
          </x14:cfRule>
          <xm:sqref>B207:Q207 B245:Q252 B214:Q214 B95:Q128 B130:Q134 B141:Q145 B137:Q139 C136:Q136 B135</xm:sqref>
        </x14:conditionalFormatting>
        <x14:conditionalFormatting xmlns:xm="http://schemas.microsoft.com/office/excel/2006/main">
          <x14:cfRule type="expression" priority="27" id="{0784C8EF-07B9-44A7-9B74-198EB4BD50F2}">
            <xm:f>'Gen Info'!$K$17="Direct to Processor"</xm:f>
            <x14:dxf>
              <font>
                <color theme="0" tint="-0.499984740745262"/>
              </font>
              <fill>
                <patternFill>
                  <bgColor theme="0" tint="-0.34998626667073579"/>
                </patternFill>
              </fill>
            </x14:dxf>
          </x14:cfRule>
          <xm:sqref>B105:D109</xm:sqref>
        </x14:conditionalFormatting>
        <x14:conditionalFormatting xmlns:xm="http://schemas.microsoft.com/office/excel/2006/main">
          <x14:cfRule type="expression" priority="26" id="{BFDB2DA2-9E53-4F30-9A3E-9549251BAA3C}">
            <xm:f>'Gen Info'!$K$17="Direct to Processor"</xm:f>
            <x14:dxf>
              <font>
                <color theme="0" tint="-0.499984740745262"/>
              </font>
              <fill>
                <patternFill>
                  <bgColor theme="0" tint="-0.34998626667073579"/>
                </patternFill>
              </fill>
            </x14:dxf>
          </x14:cfRule>
          <xm:sqref>B118:D118</xm:sqref>
        </x14:conditionalFormatting>
        <x14:conditionalFormatting xmlns:xm="http://schemas.microsoft.com/office/excel/2006/main">
          <x14:cfRule type="expression" priority="1" id="{596C0889-B42F-4243-9200-0C22AA7645DC}">
            <xm:f>'Gen Info'!$K$17="Direct to Processor"</xm:f>
            <x14:dxf>
              <font>
                <color theme="0" tint="-0.499984740745262"/>
              </font>
              <fill>
                <patternFill>
                  <bgColor theme="0" tint="-0.34998626667073579"/>
                </patternFill>
              </fill>
            </x14:dxf>
          </x14:cfRule>
          <xm:sqref>B140:Q140</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434953"/>
  </sheetPr>
  <dimension ref="A1:AM32"/>
  <sheetViews>
    <sheetView workbookViewId="0"/>
  </sheetViews>
  <sheetFormatPr defaultRowHeight="12.75" x14ac:dyDescent="0.2"/>
  <cols>
    <col min="1" max="1" width="2.85546875" customWidth="1"/>
    <col min="2" max="2" width="21.5703125" customWidth="1"/>
    <col min="3" max="3" width="14.28515625" customWidth="1"/>
    <col min="4" max="4" width="18.42578125" bestFit="1" customWidth="1"/>
    <col min="6" max="6" width="9.7109375" bestFit="1" customWidth="1"/>
    <col min="11" max="11" width="9.5703125" customWidth="1"/>
    <col min="12" max="12" width="9" hidden="1" customWidth="1"/>
    <col min="13" max="13" width="10.85546875" bestFit="1" customWidth="1"/>
    <col min="14" max="14" width="8.85546875" hidden="1" customWidth="1"/>
    <col min="15" max="18" width="6" hidden="1" customWidth="1"/>
    <col min="19" max="19" width="12.140625" hidden="1" customWidth="1"/>
    <col min="20" max="20" width="9" hidden="1" customWidth="1"/>
    <col min="21" max="21" width="9.7109375" hidden="1" customWidth="1"/>
    <col min="22" max="22" width="11.42578125" hidden="1" customWidth="1"/>
    <col min="23" max="25" width="9" hidden="1" customWidth="1"/>
    <col min="26" max="26" width="7.85546875" hidden="1" customWidth="1"/>
    <col min="27" max="27" width="12.7109375" customWidth="1"/>
    <col min="28" max="28" width="12.140625" customWidth="1"/>
    <col min="29" max="29" width="12.7109375" customWidth="1"/>
    <col min="30" max="30" width="11.28515625" style="603" bestFit="1" customWidth="1"/>
    <col min="31" max="31" width="12" style="603" bestFit="1" customWidth="1"/>
    <col min="32" max="32" width="18.42578125" style="644" bestFit="1" customWidth="1"/>
    <col min="33" max="33" width="12.28515625" style="644" customWidth="1"/>
    <col min="34" max="34" width="11.28515625" bestFit="1" customWidth="1"/>
  </cols>
  <sheetData>
    <row r="1" spans="1:39" s="91" customFormat="1" ht="24.95" customHeight="1" x14ac:dyDescent="0.2">
      <c r="A1" s="427"/>
      <c r="B1" s="1412" t="s">
        <v>204</v>
      </c>
      <c r="C1" s="89"/>
      <c r="D1" s="89"/>
      <c r="E1" s="89"/>
      <c r="F1" s="90"/>
      <c r="G1" s="90"/>
      <c r="H1" s="90"/>
      <c r="I1" s="90"/>
      <c r="J1" s="90"/>
      <c r="K1" s="90"/>
      <c r="L1" s="90"/>
      <c r="AA1" s="1270" t="s">
        <v>107</v>
      </c>
      <c r="AB1" s="1271">
        <f>AB22+AB30+AB38+AB46</f>
        <v>0</v>
      </c>
      <c r="AD1" s="595"/>
      <c r="AE1" s="595"/>
      <c r="AF1" s="595"/>
      <c r="AG1" s="595"/>
      <c r="AH1" s="595"/>
    </row>
    <row r="2" spans="1:39" s="91" customFormat="1" ht="24.95" customHeight="1" x14ac:dyDescent="0.2">
      <c r="A2" s="427"/>
      <c r="B2" s="1412"/>
      <c r="C2" s="89"/>
      <c r="D2" s="89"/>
      <c r="E2" s="89"/>
      <c r="F2" s="90"/>
      <c r="G2" s="90"/>
      <c r="H2" s="90"/>
      <c r="I2" s="90"/>
      <c r="J2" s="90"/>
      <c r="K2" s="90"/>
      <c r="L2" s="90"/>
      <c r="AA2" s="1270"/>
      <c r="AB2" s="1271"/>
      <c r="AD2" s="595"/>
      <c r="AE2" s="595"/>
      <c r="AF2" s="595"/>
      <c r="AG2" s="595"/>
      <c r="AH2" s="595"/>
    </row>
    <row r="3" spans="1:39" s="91" customFormat="1" ht="24.95" customHeight="1" x14ac:dyDescent="0.2">
      <c r="A3" s="427"/>
      <c r="B3" s="430"/>
      <c r="C3" s="430"/>
      <c r="D3" s="430"/>
      <c r="E3" s="430"/>
      <c r="F3" s="94"/>
      <c r="G3" s="94"/>
      <c r="H3" s="93"/>
      <c r="I3" s="93"/>
      <c r="J3" s="93"/>
      <c r="K3" s="93"/>
      <c r="L3" s="93"/>
      <c r="M3" s="93"/>
      <c r="N3" s="93"/>
      <c r="O3" s="93"/>
      <c r="P3" s="93"/>
      <c r="Q3" s="93"/>
      <c r="R3" s="93"/>
      <c r="S3" s="93"/>
      <c r="T3" s="93"/>
      <c r="U3" s="93"/>
      <c r="V3" s="93"/>
      <c r="W3" s="93"/>
      <c r="X3" s="93"/>
      <c r="Y3" s="93"/>
      <c r="Z3" s="93"/>
      <c r="AA3" s="93"/>
      <c r="AB3" s="93"/>
      <c r="AC3" s="93"/>
      <c r="AD3" s="595"/>
      <c r="AE3" s="595"/>
      <c r="AF3" s="595"/>
      <c r="AG3" s="595"/>
      <c r="AH3" s="595"/>
    </row>
    <row r="4" spans="1:39" s="93" customFormat="1" ht="24.95" customHeight="1" x14ac:dyDescent="0.2">
      <c r="A4" s="428"/>
      <c r="B4" s="1269" t="s">
        <v>202</v>
      </c>
      <c r="C4" s="1269"/>
      <c r="D4" s="1269"/>
      <c r="E4" s="1269"/>
      <c r="F4" s="1269"/>
      <c r="G4" s="1269"/>
      <c r="H4" s="1269"/>
      <c r="I4" s="1269"/>
      <c r="J4" s="1269"/>
      <c r="K4" s="1269"/>
      <c r="L4" s="1269"/>
      <c r="M4" s="1269"/>
      <c r="N4" s="1269"/>
      <c r="O4" s="1269"/>
      <c r="P4" s="1269"/>
      <c r="Q4" s="1269"/>
      <c r="R4" s="1269"/>
      <c r="S4" s="1269"/>
      <c r="T4" s="1269"/>
      <c r="U4" s="1269"/>
      <c r="V4" s="1269"/>
      <c r="W4" s="1269"/>
      <c r="X4" s="1269"/>
      <c r="Y4" s="1269"/>
      <c r="Z4" s="1269"/>
      <c r="AA4" s="1269"/>
      <c r="AB4" s="1269"/>
      <c r="AC4" s="1269"/>
      <c r="AD4" s="596"/>
      <c r="AE4" s="596"/>
      <c r="AF4" s="596"/>
      <c r="AG4" s="596"/>
      <c r="AH4" s="596"/>
    </row>
    <row r="5" spans="1:39" s="91" customFormat="1" ht="25.15" customHeight="1" x14ac:dyDescent="0.2">
      <c r="A5" s="427"/>
      <c r="B5" s="467" t="s">
        <v>90</v>
      </c>
      <c r="C5" s="468" t="s">
        <v>91</v>
      </c>
      <c r="D5" s="469" t="s">
        <v>172</v>
      </c>
      <c r="E5" s="470" t="s">
        <v>92</v>
      </c>
      <c r="F5" s="469" t="s">
        <v>203</v>
      </c>
      <c r="G5" s="469" t="s">
        <v>115</v>
      </c>
      <c r="H5" s="469" t="s">
        <v>96</v>
      </c>
      <c r="I5" s="469" t="s">
        <v>208</v>
      </c>
      <c r="J5" s="471" t="s">
        <v>103</v>
      </c>
      <c r="K5" s="471" t="s">
        <v>178</v>
      </c>
      <c r="L5" s="526"/>
      <c r="M5" s="469" t="s">
        <v>97</v>
      </c>
      <c r="N5" s="527" t="s">
        <v>101</v>
      </c>
      <c r="O5" s="527" t="s">
        <v>106</v>
      </c>
      <c r="P5" s="527" t="s">
        <v>181</v>
      </c>
      <c r="Q5" s="527" t="s">
        <v>195</v>
      </c>
      <c r="R5" s="527" t="s">
        <v>201</v>
      </c>
      <c r="S5" s="527" t="s">
        <v>179</v>
      </c>
      <c r="T5" s="527" t="s">
        <v>180</v>
      </c>
      <c r="U5" s="527" t="s">
        <v>193</v>
      </c>
      <c r="V5" s="527" t="s">
        <v>194</v>
      </c>
      <c r="W5" s="527" t="s">
        <v>418</v>
      </c>
      <c r="X5" s="527" t="s">
        <v>422</v>
      </c>
      <c r="Y5" s="527" t="s">
        <v>423</v>
      </c>
      <c r="Z5" s="527" t="s">
        <v>105</v>
      </c>
      <c r="AA5" s="471" t="s">
        <v>93</v>
      </c>
      <c r="AB5" s="471" t="s">
        <v>94</v>
      </c>
      <c r="AC5" s="471" t="s">
        <v>95</v>
      </c>
      <c r="AD5" s="1125"/>
      <c r="AE5" s="1125"/>
      <c r="AF5" s="1125"/>
      <c r="AG5" s="1125"/>
      <c r="AH5" s="1125"/>
      <c r="AI5" s="1126"/>
      <c r="AJ5" s="1126"/>
      <c r="AK5" s="1126"/>
      <c r="AL5" s="1126"/>
      <c r="AM5" s="1126"/>
    </row>
    <row r="6" spans="1:39" s="91" customFormat="1" ht="24.95" customHeight="1" x14ac:dyDescent="0.2">
      <c r="A6" s="429" t="str">
        <f>IF(ProposedLoans!$M6&gt;0,DATE((H6+1),1,1),"")</f>
        <v/>
      </c>
      <c r="B6" s="431"/>
      <c r="C6" s="431"/>
      <c r="D6" s="431"/>
      <c r="E6" s="619"/>
      <c r="F6" s="432"/>
      <c r="G6" s="432"/>
      <c r="H6" s="433"/>
      <c r="I6" s="433"/>
      <c r="J6" s="433"/>
      <c r="K6" s="433"/>
      <c r="L6" s="434" t="str">
        <f>IF($H6&gt;0,DATE(H6,INDEX(Inputs!$C$4:$D$15,MATCH(K6,Months,0),2),1),"")</f>
        <v/>
      </c>
      <c r="M6" s="433"/>
      <c r="N6" s="541" t="str">
        <f>IF(ProposedLoans!$M6&gt;0,ProposedLoans!$J6*ProposedLoans!$O6,"")</f>
        <v/>
      </c>
      <c r="O6" s="541" t="str">
        <f>IF(M6&gt;0,IF(M6="Monthly",12,IF(M6="Quarterly",4,IF(M6="Semi-Annual",2,1))),"")</f>
        <v/>
      </c>
      <c r="P6" s="542" t="str">
        <f>IF(I6="no",0,IF(M6&gt;0,IF(M6="Annual",1,(YEARFRAC(L6,A6,))*12),""))</f>
        <v/>
      </c>
      <c r="Q6" s="542">
        <f>IF(I6="no",0,ROUNDUP(IF(M6="Monthly",12*(P6/O6),IF(M6="Quarterly",((P6/12)*O6),IF(M6="Semi-Annual",IF(((P6/12)*O6)&gt;1,2,1),1))),0))</f>
        <v>1</v>
      </c>
      <c r="R6" s="541" t="str">
        <f>IF(M6&gt;0,Q6/O6,"")</f>
        <v/>
      </c>
      <c r="S6" s="543" t="str">
        <f>IF(I6="No",0,IF(ProposedLoans!$M6&gt;0,IF(R6=1,U6/Q6,(U6/Q6)),""))</f>
        <v/>
      </c>
      <c r="T6" s="543" t="str">
        <f>IF(I6="no",0,IF(ProposedLoans!$M6&gt;0,IF(R6=1,V6/Q6,R6*(V6/Q6)),""))</f>
        <v/>
      </c>
      <c r="U6" s="543" t="str">
        <f>IF(I6="No",0,IF(E6&gt;0,IF(ProposedLoans!$M6&lt;&gt;0,CUMPRINC(((365/360)*E6)/O6,N6,F6,1,Q6,0)*-1,),ProposedLoans!$AA6))</f>
        <v/>
      </c>
      <c r="V6" s="543">
        <f>IF(I6="no",0,IF(E6&gt;0,IF(ProposedLoans!$M6&lt;&gt;0,IF(OR(D6="Operating-Ag",D6="operating-Direct Mkt")=TRUE,(1-X6)*CUMIPMT(((365/360)*E6)/O6,N6,F6,1,Q6,0)*-1,CUMIPMT(((365/360)*E6)/O6,N6,F6,1,Q6,0)*-1),0),0))</f>
        <v>0</v>
      </c>
      <c r="W6" s="543">
        <f>IF(I6="no",0,IF(OR(D6="Operating-Ag",D6="Operating-DM")=TRUE,0,IF(E6&gt;0,IF(ProposedLoans!$M6&lt;&gt;0,CUMIPMT(((365/360)*E6)/O6,N6+Q6,F6,Q6+1,Q6+Q6,0)*-1,),0))*X6)</f>
        <v>0</v>
      </c>
      <c r="X6" s="605">
        <f>IF(M6&gt;0,INDEX(Inputs!$J$26:$K$37,MATCH(Y6,Inputs!$J$26:$J$37,0),2)/12,0)</f>
        <v>0</v>
      </c>
      <c r="Y6" s="543" t="str">
        <f>IF(M6&gt;0,RIGHT(Z6,3),"")</f>
        <v/>
      </c>
      <c r="Z6" s="543">
        <f>IF(M6&lt;&gt;0,IF(M6="annual",INDEX(Inputs!$C$4:$E$15,MATCH(ProposedLoans!K6,Months,0),3),IF(M6="semi-annual",IF(Q6=2,CONCATENATE(INDEX(Inputs!$C$4:$E$15,MATCH(ProposedLoans!K6,Months,0),3),",",INDEX(Inputs!$C$4:$E$15,MATCH(MONTH(L6+190),Inputs!$D$4:$D$15,0),3)),INDEX(Inputs!$C$4:$E$15,MATCH(ProposedLoans!K6,Months,0),3)),IF(M6="Quarterly",IF(Q6=4,CONCATENATE(INDEX(Inputs!$C$4:$E$15,MATCH(ProposedLoans!K6,Months,0),3),",",INDEX(Inputs!$C$4:$E$15,MATCH(MONTH(L6+95),Inputs!$D$4:$D$15,0),3),",",INDEX(Inputs!$C$4:$E$15,MATCH(MONTH(L6+190),Inputs!$D$4:$D$15,0),3),",",INDEX(Inputs!$C$4:$E$15,MATCH(MONTH(L6+275),Inputs!$D$4:$D$15,0),3)),IF(Q6=3,CONCATENATE(INDEX(Inputs!$C$4:$E$15,MATCH(ProposedLoans!K6,Months,0),3),",",INDEX(Inputs!$C$4:$E$15,MATCH(MONTH(L6+95),Inputs!$D$4:$D$15,0),3),",",INDEX(Inputs!$C$4:$E$15,MATCH(MONTH(L6+190),Inputs!$D$4:$D$15,0),3)),IF(Q6=2,CONCATENATE(INDEX(Inputs!$C$4:$E$15,MATCH(ProposedLoans!K6,Months,0),3),",",INDEX(Inputs!$C$4:$E$15,MATCH(MONTH(L6+95),Inputs!$D$4:$D$15,0),3)),INDEX(Inputs!$C$4:$E$15,MATCH(ProposedLoans!K6,Months,0),3)))),INDEX(Inputs!$C$4:$F$15,MATCH(ProposedLoans!K6,Months,0),4)))),0)</f>
        <v>0</v>
      </c>
      <c r="AA6" s="435" t="str">
        <f>IF(ProposedLoans!$M6&gt;0,PMT(((365/360)*ProposedLoans!$E6)/ProposedLoans!$O6,ProposedLoans!$N6,ProposedLoans!$F6*-1)*ProposedLoans!$O6,"")</f>
        <v/>
      </c>
      <c r="AB6" s="436">
        <f>IF(I6="no",IF(ProposedLoans!$M6&gt;0,PPMT(((365/360)*ProposedLoans!$E6)/ProposedLoans!$O6,1,ProposedLoans!$N6,ProposedLoans!$F6*-1)*ProposedLoans!$O6,),IF(F6&gt;0,IF(ProposedLoans!$M6&lt;&gt;0,IF(R6=1,U6,IF(E6=0,R6*U6,U6)),ProposedLoans!$AA6),))</f>
        <v>0</v>
      </c>
      <c r="AC6" s="435" t="str">
        <f>IF(ProposedLoans!$M6&gt;0,ProposedLoans!$F6-ProposedLoans!$AB6,"")</f>
        <v/>
      </c>
      <c r="AD6" s="621" t="str">
        <f>IF(E6&gt;0,IF(AC6&lt;AB6,AC6,IF(ProposedLoans!$M6&lt;&gt;0,CUMPRINC(((365/360)*E6)/O6,N6,F6,1+Q6,Q6+Q6,0)*-1,)),ProposedLoans!$AA6)</f>
        <v/>
      </c>
      <c r="AE6" s="621">
        <f>IF(M6&gt;0,IF(I6="Yes",AC6-AD6,AC6),0)</f>
        <v>0</v>
      </c>
      <c r="AF6" s="595" t="str">
        <f t="shared" ref="AF6:AF13" si="0">IF(D6&gt;0,D6,"")</f>
        <v/>
      </c>
      <c r="AG6" s="609" t="str">
        <f>IF(OR(D6="Operating-Ag",D6="Operating-Direct Mkt")=TRUE,AB6,AD6)</f>
        <v/>
      </c>
      <c r="AH6" s="609">
        <f>IF(OR(E6="Operating-Ag",D6="Operating-Direct Mkt")=TRUE,AC6,AE6)</f>
        <v>0</v>
      </c>
      <c r="AI6" s="598"/>
      <c r="AJ6" s="598"/>
      <c r="AK6" s="598"/>
      <c r="AL6" s="598"/>
      <c r="AM6" s="598"/>
    </row>
    <row r="7" spans="1:39" s="91" customFormat="1" ht="24.95" customHeight="1" x14ac:dyDescent="0.2">
      <c r="A7" s="429" t="str">
        <f>IF(ProposedLoans!$M7&gt;0,DATE((H7+1),1,1),"")</f>
        <v/>
      </c>
      <c r="B7" s="431"/>
      <c r="C7" s="431"/>
      <c r="D7" s="431"/>
      <c r="E7" s="619"/>
      <c r="F7" s="432"/>
      <c r="G7" s="432"/>
      <c r="H7" s="433"/>
      <c r="I7" s="433"/>
      <c r="J7" s="433"/>
      <c r="K7" s="433"/>
      <c r="L7" s="434" t="str">
        <f>IF($H7&gt;0,DATE(H7,INDEX(Inputs!$C$4:$D$15,MATCH(K7,Months,0),2),1),"")</f>
        <v/>
      </c>
      <c r="M7" s="433"/>
      <c r="N7" s="541" t="str">
        <f>IF(ProposedLoans!$M7&gt;0,ProposedLoans!$J7*ProposedLoans!$O7,"")</f>
        <v/>
      </c>
      <c r="O7" s="541" t="str">
        <f t="shared" ref="O7:O21" si="1">IF(M7&gt;0,IF(M7="Monthly",12,IF(M7="Quarterly",4,IF(M7="Semi-Annual",2,1))),"")</f>
        <v/>
      </c>
      <c r="P7" s="542" t="str">
        <f t="shared" ref="P7:P19" si="2">IF(I7="no",0,IF(M7&gt;0,IF(M7="Annual",1,(YEARFRAC(L7,A7,))*12),""))</f>
        <v/>
      </c>
      <c r="Q7" s="542">
        <f t="shared" ref="Q7:Q21" si="3">IF(I7="no",0,ROUNDUP(IF(M7="Monthly",12*(P7/O7),IF(M7="Quarterly",((P7/12)*O7),IF(M7="Semi-Annual",IF(((P7/12)*O7)&gt;1,2,1),1))),0))</f>
        <v>1</v>
      </c>
      <c r="R7" s="541" t="str">
        <f t="shared" ref="R7:R21" si="4">IF(M7&gt;0,Q7/O7,"")</f>
        <v/>
      </c>
      <c r="S7" s="543" t="str">
        <f>IF(I7="No",0,IF(ProposedLoans!$M7&gt;0,IF(R7=1,U7/Q7,(U7/Q7)),""))</f>
        <v/>
      </c>
      <c r="T7" s="543" t="str">
        <f>IF(I7="no",0,IF(ProposedLoans!$M7&gt;0,IF(R7=1,V7/Q7,R7*(V7/Q7)),""))</f>
        <v/>
      </c>
      <c r="U7" s="543" t="str">
        <f>IF(I7="No",0,IF(E7&gt;0,IF(ProposedLoans!$M7&lt;&gt;0,CUMPRINC(((365/360)*E7)/O7,N7,F7,1,Q7,0)*-1,),ProposedLoans!$AA7))</f>
        <v/>
      </c>
      <c r="V7" s="543">
        <f>IF(I7="no",0,IF(E7&gt;0,IF(ProposedLoans!$M7&lt;&gt;0,IF(OR(D7="Operating-Ag",D7="operating-Direct Mkt")=TRUE,(1-X7)*CUMIPMT(((365/360)*E7)/O7,N7,F7,1,Q7,0)*-1,CUMIPMT(((365/360)*E7)/O7,N7,F7,1,Q7,0)*-1),0),0))</f>
        <v>0</v>
      </c>
      <c r="W7" s="543">
        <f>IF(I7="no",0,IF(OR(D7="Operating-Ag",D7="Operating-DM")=TRUE,0,IF(E7&gt;0,IF(ProposedLoans!$M7&lt;&gt;0,CUMIPMT(((365/360)*E7)/O7,N7+Q7,F7,Q7+1,Q7+Q7,0)*-1,),0))*X7)</f>
        <v>0</v>
      </c>
      <c r="X7" s="605">
        <f>IF(M7&gt;0,INDEX(Inputs!$J$26:$K$37,MATCH(Y7,Inputs!$J$26:$J$37,0),2)/12,0)</f>
        <v>0</v>
      </c>
      <c r="Y7" s="543" t="str">
        <f t="shared" ref="Y7:Y21" si="5">IF(M7&gt;0,RIGHT(Z7,3),"")</f>
        <v/>
      </c>
      <c r="Z7" s="543">
        <f>IF(M7&lt;&gt;0,IF(M7="annual",INDEX(Inputs!$C$4:$E$15,MATCH(ProposedLoans!K7,Months,0),3),IF(M7="semi-annual",IF(Q7=2,CONCATENATE(INDEX(Inputs!$C$4:$E$15,MATCH(ProposedLoans!K7,Months,0),3),",",INDEX(Inputs!$C$4:$E$15,MATCH(MONTH(L7+190),Inputs!$D$4:$D$15,0),3)),INDEX(Inputs!$C$4:$E$15,MATCH(ProposedLoans!K7,Months,0),3)),IF(M7="Quarterly",IF(Q7=4,CONCATENATE(INDEX(Inputs!$C$4:$E$15,MATCH(ProposedLoans!K7,Months,0),3),",",INDEX(Inputs!$C$4:$E$15,MATCH(MONTH(L7+95),Inputs!$D$4:$D$15,0),3),",",INDEX(Inputs!$C$4:$E$15,MATCH(MONTH(L7+190),Inputs!$D$4:$D$15,0),3),",",INDEX(Inputs!$C$4:$E$15,MATCH(MONTH(L7+275),Inputs!$D$4:$D$15,0),3)),IF(Q7=3,CONCATENATE(INDEX(Inputs!$C$4:$E$15,MATCH(ProposedLoans!K7,Months,0),3),",",INDEX(Inputs!$C$4:$E$15,MATCH(MONTH(L7+95),Inputs!$D$4:$D$15,0),3),",",INDEX(Inputs!$C$4:$E$15,MATCH(MONTH(L7+190),Inputs!$D$4:$D$15,0),3)),IF(Q7=2,CONCATENATE(INDEX(Inputs!$C$4:$E$15,MATCH(ProposedLoans!K7,Months,0),3),",",INDEX(Inputs!$C$4:$E$15,MATCH(MONTH(L7+95),Inputs!$D$4:$D$15,0),3)),INDEX(Inputs!$C$4:$E$15,MATCH(ProposedLoans!K7,Months,0),3)))),INDEX(Inputs!$C$4:$F$15,MATCH(ProposedLoans!K7,Months,0),4)))),0)</f>
        <v>0</v>
      </c>
      <c r="AA7" s="435" t="str">
        <f>IF(ProposedLoans!$M7&gt;0,PMT(((365/360)*ProposedLoans!$E7)/ProposedLoans!$O7,ProposedLoans!$N7,ProposedLoans!$F7*-1)*ProposedLoans!$O7,"")</f>
        <v/>
      </c>
      <c r="AB7" s="436">
        <f>IF(I7="no",IF(ProposedLoans!$M7&gt;0,PPMT(((365/360)*ProposedLoans!$E7)/ProposedLoans!$O7,1,ProposedLoans!$N7,ProposedLoans!$F7*-1)*ProposedLoans!$O7,),IF(F7&gt;0,IF(ProposedLoans!$M7&lt;&gt;0,IF(R7=1,U7,IF(E7=0,R7*U7,U7)),ProposedLoans!$AA7),))</f>
        <v>0</v>
      </c>
      <c r="AC7" s="435" t="str">
        <f>IF(ProposedLoans!$M7&gt;0,ProposedLoans!$F7-ProposedLoans!$AB7,"")</f>
        <v/>
      </c>
      <c r="AD7" s="621" t="str">
        <f>IF(E7&gt;0,IF(AC7&lt;AB7,AC7,IF(ProposedLoans!$M7&lt;&gt;0,CUMPRINC(((365/360)*E7)/O7,N7,F7,1+Q7,Q7+Q7,0)*-1,)),ProposedLoans!$AA7)</f>
        <v/>
      </c>
      <c r="AE7" s="621">
        <f t="shared" ref="AE7:AE13" si="6">IF(M7&gt;0,IF(I7="Yes",AC7-AD7,AC7),0)</f>
        <v>0</v>
      </c>
      <c r="AF7" s="595" t="str">
        <f t="shared" si="0"/>
        <v/>
      </c>
      <c r="AG7" s="609" t="str">
        <f t="shared" ref="AG7:AG13" si="7">IF(OR(D7="Operating-Ag",D7="Operating-Direct Mkt")=TRUE,AB7,AD7)</f>
        <v/>
      </c>
      <c r="AH7" s="609">
        <f t="shared" ref="AH7:AH13" si="8">IF(OR(E7="Operating-Ag",D7="Operating-Direct Mkt")=TRUE,AC7,AE7)</f>
        <v>0</v>
      </c>
      <c r="AI7" s="598"/>
      <c r="AJ7" s="598"/>
      <c r="AK7" s="598"/>
      <c r="AL7" s="598"/>
      <c r="AM7" s="598"/>
    </row>
    <row r="8" spans="1:39" s="91" customFormat="1" ht="24.95" customHeight="1" x14ac:dyDescent="0.2">
      <c r="A8" s="429" t="str">
        <f>IF(ProposedLoans!$M8&gt;0,DATE((H8+1),1,1),"")</f>
        <v/>
      </c>
      <c r="B8" s="431"/>
      <c r="C8" s="431"/>
      <c r="D8" s="431"/>
      <c r="E8" s="619"/>
      <c r="F8" s="432"/>
      <c r="G8" s="432"/>
      <c r="H8" s="433"/>
      <c r="I8" s="433"/>
      <c r="J8" s="433"/>
      <c r="K8" s="433"/>
      <c r="L8" s="434" t="str">
        <f>IF($H8&gt;0,DATE(H8,INDEX(Inputs!$C$4:$D$15,MATCH(K8,Months,0),2),1),"")</f>
        <v/>
      </c>
      <c r="M8" s="433"/>
      <c r="N8" s="541" t="str">
        <f>IF(ProposedLoans!$M8&gt;0,ProposedLoans!$J8*ProposedLoans!$O8,"")</f>
        <v/>
      </c>
      <c r="O8" s="541" t="str">
        <f>IF(M8&gt;0,IF(M8="Monthly",12,IF(M8="Quarterly",4,IF(M8="Semi-Annual",2,1))),"")</f>
        <v/>
      </c>
      <c r="P8" s="542" t="str">
        <f t="shared" si="2"/>
        <v/>
      </c>
      <c r="Q8" s="542">
        <f t="shared" si="3"/>
        <v>1</v>
      </c>
      <c r="R8" s="541" t="str">
        <f>IF(M8&gt;0,Q8/O8,"")</f>
        <v/>
      </c>
      <c r="S8" s="543" t="str">
        <f>IF(I8="No",0,IF(ProposedLoans!$M8&gt;0,IF(R8=1,U8/Q8,(U8/Q8)),""))</f>
        <v/>
      </c>
      <c r="T8" s="543" t="str">
        <f>IF(I8="no",0,IF(ProposedLoans!$M8&gt;0,IF(R8=1,V8/Q8,R8*(V8/Q8)),""))</f>
        <v/>
      </c>
      <c r="U8" s="543" t="str">
        <f>IF(I8="No",0,IF(E8&gt;0,IF(ProposedLoans!$M8&lt;&gt;0,CUMPRINC(((365/360)*E8)/O8,N8,F8,1,Q8,0)*-1,),ProposedLoans!$AA8))</f>
        <v/>
      </c>
      <c r="V8" s="543">
        <f>IF(I8="no",0,IF(E8&gt;0,IF(ProposedLoans!$M8&lt;&gt;0,IF(OR(D8="Operating-Ag",D8="operating-Direct Mkt")=TRUE,(1-X8)*CUMIPMT(((365/360)*E8)/O8,N8,F8,1,Q8,0)*-1,CUMIPMT(((365/360)*E8)/O8,N8,F8,1,Q8,0)*-1),0),0))</f>
        <v>0</v>
      </c>
      <c r="W8" s="543">
        <f>IF(I8="no",0,IF(OR(D8="Operating-Ag",D8="Operating-DM")=TRUE,0,IF(E8&gt;0,IF(ProposedLoans!$M8&lt;&gt;0,CUMIPMT(((365/360)*E8)/O8,N8+Q8,F8,Q8+1,Q8+Q8,0)*-1,),0))*X8)</f>
        <v>0</v>
      </c>
      <c r="X8" s="605">
        <f>IF(M8&gt;0,INDEX(Inputs!$J$26:$K$37,MATCH(Y8,Inputs!$J$26:$J$37,0),2)/12,0)</f>
        <v>0</v>
      </c>
      <c r="Y8" s="543" t="str">
        <f t="shared" si="5"/>
        <v/>
      </c>
      <c r="Z8" s="543">
        <f>IF(M8&lt;&gt;0,IF(M8="annual",INDEX(Inputs!$C$4:$E$15,MATCH(ProposedLoans!K8,Months,0),3),IF(M8="semi-annual",IF(Q8=2,CONCATENATE(INDEX(Inputs!$C$4:$E$15,MATCH(ProposedLoans!K8,Months,0),3),",",INDEX(Inputs!$C$4:$E$15,MATCH(MONTH(L8+190),Inputs!$D$4:$D$15,0),3)),INDEX(Inputs!$C$4:$E$15,MATCH(ProposedLoans!K8,Months,0),3)),IF(M8="Quarterly",IF(Q8=4,CONCATENATE(INDEX(Inputs!$C$4:$E$15,MATCH(ProposedLoans!K8,Months,0),3),",",INDEX(Inputs!$C$4:$E$15,MATCH(MONTH(L8+95),Inputs!$D$4:$D$15,0),3),",",INDEX(Inputs!$C$4:$E$15,MATCH(MONTH(L8+190),Inputs!$D$4:$D$15,0),3),",",INDEX(Inputs!$C$4:$E$15,MATCH(MONTH(L8+275),Inputs!$D$4:$D$15,0),3)),IF(Q8=3,CONCATENATE(INDEX(Inputs!$C$4:$E$15,MATCH(ProposedLoans!K8,Months,0),3),",",INDEX(Inputs!$C$4:$E$15,MATCH(MONTH(L8+95),Inputs!$D$4:$D$15,0),3),",",INDEX(Inputs!$C$4:$E$15,MATCH(MONTH(L8+190),Inputs!$D$4:$D$15,0),3)),IF(Q8=2,CONCATENATE(INDEX(Inputs!$C$4:$E$15,MATCH(ProposedLoans!K8,Months,0),3),",",INDEX(Inputs!$C$4:$E$15,MATCH(MONTH(L8+95),Inputs!$D$4:$D$15,0),3)),INDEX(Inputs!$C$4:$E$15,MATCH(ProposedLoans!K8,Months,0),3)))),INDEX(Inputs!$C$4:$F$15,MATCH(ProposedLoans!K8,Months,0),4)))),0)</f>
        <v>0</v>
      </c>
      <c r="AA8" s="435" t="str">
        <f>IF(ProposedLoans!$M8&gt;0,PMT(((365/360)*ProposedLoans!$E8)/ProposedLoans!$O8,ProposedLoans!$N8,ProposedLoans!$F8*-1)*ProposedLoans!$O8,"")</f>
        <v/>
      </c>
      <c r="AB8" s="436">
        <f>IF(I8="no",IF(ProposedLoans!$M8&gt;0,PPMT(((365/360)*ProposedLoans!$E8)/ProposedLoans!$O8,1,ProposedLoans!$N8,ProposedLoans!$F8*-1)*ProposedLoans!$O8,),IF(F8&gt;0,IF(ProposedLoans!$M8&lt;&gt;0,IF(R8=1,U8,IF(E8=0,R8*U8,U8)),ProposedLoans!$AA8),))</f>
        <v>0</v>
      </c>
      <c r="AC8" s="435" t="str">
        <f>IF(ProposedLoans!$M8&gt;0,ProposedLoans!$F8-ProposedLoans!$AB8,"")</f>
        <v/>
      </c>
      <c r="AD8" s="621" t="str">
        <f>IF(E8&gt;0,IF(AC8&lt;AB8,AC8,IF(ProposedLoans!$M8&lt;&gt;0,CUMPRINC(((365/360)*E8)/O8,N8,F8,1+Q8,Q8+Q8,0)*-1,)),ProposedLoans!$AA8)</f>
        <v/>
      </c>
      <c r="AE8" s="621">
        <f t="shared" si="6"/>
        <v>0</v>
      </c>
      <c r="AF8" s="595" t="str">
        <f t="shared" si="0"/>
        <v/>
      </c>
      <c r="AG8" s="609" t="str">
        <f t="shared" si="7"/>
        <v/>
      </c>
      <c r="AH8" s="609">
        <f t="shared" si="8"/>
        <v>0</v>
      </c>
      <c r="AI8" s="598"/>
      <c r="AJ8" s="598"/>
      <c r="AK8" s="598"/>
      <c r="AL8" s="598"/>
      <c r="AM8" s="598"/>
    </row>
    <row r="9" spans="1:39" s="91" customFormat="1" ht="24.95" customHeight="1" x14ac:dyDescent="0.2">
      <c r="A9" s="429" t="str">
        <f>IF(ProposedLoans!$M9&gt;0,DATE((H9+1),1,1),"")</f>
        <v/>
      </c>
      <c r="B9" s="431"/>
      <c r="C9" s="431"/>
      <c r="D9" s="431"/>
      <c r="E9" s="619"/>
      <c r="F9" s="432"/>
      <c r="G9" s="432"/>
      <c r="H9" s="433"/>
      <c r="I9" s="433"/>
      <c r="J9" s="433"/>
      <c r="K9" s="433"/>
      <c r="L9" s="434" t="str">
        <f>IF($H9&gt;0,DATE(H9,INDEX(Inputs!$C$4:$D$15,MATCH(K9,Months,0),2),1),"")</f>
        <v/>
      </c>
      <c r="M9" s="433"/>
      <c r="N9" s="541" t="str">
        <f>IF(ProposedLoans!$M9&gt;0,ProposedLoans!$J9*ProposedLoans!$O9,"")</f>
        <v/>
      </c>
      <c r="O9" s="541" t="str">
        <f>IF(M9&gt;0,IF(M9="Monthly",12,IF(M9="Quarterly",4,IF(M9="Semi-Annual",2,1))),"")</f>
        <v/>
      </c>
      <c r="P9" s="542" t="str">
        <f t="shared" si="2"/>
        <v/>
      </c>
      <c r="Q9" s="542">
        <f t="shared" si="3"/>
        <v>1</v>
      </c>
      <c r="R9" s="541" t="str">
        <f>IF(M9&gt;0,Q9/O9,"")</f>
        <v/>
      </c>
      <c r="S9" s="543" t="str">
        <f>IF(I9="No",0,IF(ProposedLoans!$M9&gt;0,IF(R9=1,U9/Q9,(U9/Q9)),""))</f>
        <v/>
      </c>
      <c r="T9" s="543" t="str">
        <f>IF(I9="no",0,IF(ProposedLoans!$M9&gt;0,IF(R9=1,V9/Q9,R9*(V9/Q9)),""))</f>
        <v/>
      </c>
      <c r="U9" s="543" t="str">
        <f>IF(I9="No",0,IF(E9&gt;0,IF(ProposedLoans!$M9&lt;&gt;0,CUMPRINC(((365/360)*E9)/O9,N9,F9,1,Q9,0)*-1,),ProposedLoans!$AA9))</f>
        <v/>
      </c>
      <c r="V9" s="543">
        <f>IF(I9="no",0,IF(E9&gt;0,IF(ProposedLoans!$M9&lt;&gt;0,IF(OR(D9="Operating-Ag",D9="operating-Direct Mkt")=TRUE,(1-X9)*CUMIPMT(((365/360)*E9)/O9,N9,F9,1,Q9,0)*-1,CUMIPMT(((365/360)*E9)/O9,N9,F9,1,Q9,0)*-1),0),0))</f>
        <v>0</v>
      </c>
      <c r="W9" s="543">
        <f>IF(I9="no",0,IF(OR(D9="Operating-Ag",D9="Operating-DM")=TRUE,0,IF(E9&gt;0,IF(ProposedLoans!$M9&lt;&gt;0,CUMIPMT(((365/360)*E9)/O9,N9+Q9,F9,Q9+1,Q9+Q9,0)*-1,),0))*X9)</f>
        <v>0</v>
      </c>
      <c r="X9" s="605">
        <f>IF(M9&gt;0,INDEX(Inputs!$J$26:$K$37,MATCH(Y9,Inputs!$J$26:$J$37,0),2)/12,0)</f>
        <v>0</v>
      </c>
      <c r="Y9" s="543" t="str">
        <f t="shared" si="5"/>
        <v/>
      </c>
      <c r="Z9" s="543">
        <f>IF(M9&lt;&gt;0,IF(M9="annual",INDEX(Inputs!$C$4:$E$15,MATCH(ProposedLoans!K9,Months,0),3),IF(M9="semi-annual",IF(Q9=2,CONCATENATE(INDEX(Inputs!$C$4:$E$15,MATCH(ProposedLoans!K9,Months,0),3),",",INDEX(Inputs!$C$4:$E$15,MATCH(MONTH(L9+190),Inputs!$D$4:$D$15,0),3)),INDEX(Inputs!$C$4:$E$15,MATCH(ProposedLoans!K9,Months,0),3)),IF(M9="Quarterly",IF(Q9=4,CONCATENATE(INDEX(Inputs!$C$4:$E$15,MATCH(ProposedLoans!K9,Months,0),3),",",INDEX(Inputs!$C$4:$E$15,MATCH(MONTH(L9+95),Inputs!$D$4:$D$15,0),3),",",INDEX(Inputs!$C$4:$E$15,MATCH(MONTH(L9+190),Inputs!$D$4:$D$15,0),3),",",INDEX(Inputs!$C$4:$E$15,MATCH(MONTH(L9+275),Inputs!$D$4:$D$15,0),3)),IF(Q9=3,CONCATENATE(INDEX(Inputs!$C$4:$E$15,MATCH(ProposedLoans!K9,Months,0),3),",",INDEX(Inputs!$C$4:$E$15,MATCH(MONTH(L9+95),Inputs!$D$4:$D$15,0),3),",",INDEX(Inputs!$C$4:$E$15,MATCH(MONTH(L9+190),Inputs!$D$4:$D$15,0),3)),IF(Q9=2,CONCATENATE(INDEX(Inputs!$C$4:$E$15,MATCH(ProposedLoans!K9,Months,0),3),",",INDEX(Inputs!$C$4:$E$15,MATCH(MONTH(L9+95),Inputs!$D$4:$D$15,0),3)),INDEX(Inputs!$C$4:$E$15,MATCH(ProposedLoans!K9,Months,0),3)))),INDEX(Inputs!$C$4:$F$15,MATCH(ProposedLoans!K9,Months,0),4)))),0)</f>
        <v>0</v>
      </c>
      <c r="AA9" s="435" t="str">
        <f>IF(ProposedLoans!$M9&gt;0,PMT(((365/360)*ProposedLoans!$E9)/ProposedLoans!$O9,ProposedLoans!$N9,ProposedLoans!$F9*-1)*ProposedLoans!$O9,"")</f>
        <v/>
      </c>
      <c r="AB9" s="436">
        <f>IF(I9="no",IF(ProposedLoans!$M9&gt;0,PPMT(((365/360)*ProposedLoans!$E9)/ProposedLoans!$O9,1,ProposedLoans!$N9,ProposedLoans!$F9*-1)*ProposedLoans!$O9,),IF(F9&gt;0,IF(ProposedLoans!$M9&lt;&gt;0,IF(R9=1,U9,IF(E9=0,R9*U9,U9)),ProposedLoans!$AA9),))</f>
        <v>0</v>
      </c>
      <c r="AC9" s="435" t="str">
        <f>IF(ProposedLoans!$M9&gt;0,ProposedLoans!$F9-ProposedLoans!$AB9,"")</f>
        <v/>
      </c>
      <c r="AD9" s="621" t="str">
        <f>IF(E9&gt;0,IF(AC9&lt;AB9,AC9,IF(ProposedLoans!$M9&lt;&gt;0,CUMPRINC(((365/360)*E9)/O9,N9,F9,1+Q9,Q9+Q9,0)*-1,)),ProposedLoans!$AA9)</f>
        <v/>
      </c>
      <c r="AE9" s="621">
        <f t="shared" si="6"/>
        <v>0</v>
      </c>
      <c r="AF9" s="595" t="str">
        <f t="shared" si="0"/>
        <v/>
      </c>
      <c r="AG9" s="609" t="str">
        <f t="shared" si="7"/>
        <v/>
      </c>
      <c r="AH9" s="609">
        <f t="shared" si="8"/>
        <v>0</v>
      </c>
      <c r="AI9" s="598"/>
      <c r="AJ9" s="598"/>
      <c r="AK9" s="598"/>
      <c r="AL9" s="598"/>
      <c r="AM9" s="598"/>
    </row>
    <row r="10" spans="1:39" s="91" customFormat="1" ht="24.95" customHeight="1" x14ac:dyDescent="0.2">
      <c r="A10" s="429" t="str">
        <f>IF(ProposedLoans!$M10&gt;0,DATE((H10+1),1,1),"")</f>
        <v/>
      </c>
      <c r="B10" s="431"/>
      <c r="C10" s="431"/>
      <c r="D10" s="431"/>
      <c r="E10" s="619"/>
      <c r="F10" s="432"/>
      <c r="G10" s="432"/>
      <c r="H10" s="433"/>
      <c r="I10" s="433"/>
      <c r="J10" s="433"/>
      <c r="K10" s="433"/>
      <c r="L10" s="434" t="str">
        <f>IF($H10&gt;0,DATE(H10,INDEX(Inputs!$C$4:$D$15,MATCH(K10,Months,0),2),1),"")</f>
        <v/>
      </c>
      <c r="M10" s="433"/>
      <c r="N10" s="541" t="str">
        <f>IF(ProposedLoans!$M10&gt;0,ProposedLoans!$J10*ProposedLoans!$O10,"")</f>
        <v/>
      </c>
      <c r="O10" s="541" t="str">
        <f>IF(M10&gt;0,IF(M10="Monthly",12,IF(M10="Quarterly",4,IF(M10="Semi-Annual",2,1))),"")</f>
        <v/>
      </c>
      <c r="P10" s="542" t="str">
        <f t="shared" si="2"/>
        <v/>
      </c>
      <c r="Q10" s="542">
        <f t="shared" si="3"/>
        <v>1</v>
      </c>
      <c r="R10" s="541" t="str">
        <f>IF(M10&gt;0,Q10/O10,"")</f>
        <v/>
      </c>
      <c r="S10" s="543" t="str">
        <f>IF(I10="No",0,IF(ProposedLoans!$M10&gt;0,IF(R10=1,U10/Q10,(U10/Q10)),""))</f>
        <v/>
      </c>
      <c r="T10" s="543" t="str">
        <f>IF(I10="no",0,IF(ProposedLoans!$M10&gt;0,IF(R10=1,V10/Q10,R10*(V10/Q10)),""))</f>
        <v/>
      </c>
      <c r="U10" s="543" t="str">
        <f>IF(I10="No",0,IF(E10&gt;0,IF(ProposedLoans!$M10&lt;&gt;0,CUMPRINC(((365/360)*E10)/O10,N10,F10,1,Q10,0)*-1,),ProposedLoans!$AA10))</f>
        <v/>
      </c>
      <c r="V10" s="543">
        <f>IF(I10="no",0,IF(E10&gt;0,IF(ProposedLoans!$M10&lt;&gt;0,IF(OR(D10="Operating-Ag",D10="operating-Direct Mkt")=TRUE,(1-X10)*CUMIPMT(((365/360)*E10)/O10,N10,F10,1,Q10,0)*-1,CUMIPMT(((365/360)*E10)/O10,N10,F10,1,Q10,0)*-1),0),0))</f>
        <v>0</v>
      </c>
      <c r="W10" s="543">
        <f>IF(I10="no",0,IF(OR(D10="Operating-Ag",D10="Operating-DM")=TRUE,0,IF(E10&gt;0,IF(ProposedLoans!$M10&lt;&gt;0,CUMIPMT(((365/360)*E10)/O10,N10+Q10,F10,Q10+1,Q10+Q10,0)*-1,),0))*X10)</f>
        <v>0</v>
      </c>
      <c r="X10" s="605">
        <f>IF(M10&gt;0,INDEX(Inputs!$J$26:$K$37,MATCH(Y10,Inputs!$J$26:$J$37,0),2)/12,0)</f>
        <v>0</v>
      </c>
      <c r="Y10" s="543" t="str">
        <f t="shared" si="5"/>
        <v/>
      </c>
      <c r="Z10" s="543">
        <f>IF(M10&lt;&gt;0,IF(M10="annual",INDEX(Inputs!$C$4:$E$15,MATCH(ProposedLoans!K10,Months,0),3),IF(M10="semi-annual",IF(Q10=2,CONCATENATE(INDEX(Inputs!$C$4:$E$15,MATCH(ProposedLoans!K10,Months,0),3),",",INDEX(Inputs!$C$4:$E$15,MATCH(MONTH(L10+190),Inputs!$D$4:$D$15,0),3)),INDEX(Inputs!$C$4:$E$15,MATCH(ProposedLoans!K10,Months,0),3)),IF(M10="Quarterly",IF(Q10=4,CONCATENATE(INDEX(Inputs!$C$4:$E$15,MATCH(ProposedLoans!K10,Months,0),3),",",INDEX(Inputs!$C$4:$E$15,MATCH(MONTH(L10+95),Inputs!$D$4:$D$15,0),3),",",INDEX(Inputs!$C$4:$E$15,MATCH(MONTH(L10+190),Inputs!$D$4:$D$15,0),3),",",INDEX(Inputs!$C$4:$E$15,MATCH(MONTH(L10+275),Inputs!$D$4:$D$15,0),3)),IF(Q10=3,CONCATENATE(INDEX(Inputs!$C$4:$E$15,MATCH(ProposedLoans!K10,Months,0),3),",",INDEX(Inputs!$C$4:$E$15,MATCH(MONTH(L10+95),Inputs!$D$4:$D$15,0),3),",",INDEX(Inputs!$C$4:$E$15,MATCH(MONTH(L10+190),Inputs!$D$4:$D$15,0),3)),IF(Q10=2,CONCATENATE(INDEX(Inputs!$C$4:$E$15,MATCH(ProposedLoans!K10,Months,0),3),",",INDEX(Inputs!$C$4:$E$15,MATCH(MONTH(L10+95),Inputs!$D$4:$D$15,0),3)),INDEX(Inputs!$C$4:$E$15,MATCH(ProposedLoans!K10,Months,0),3)))),INDEX(Inputs!$C$4:$F$15,MATCH(ProposedLoans!K10,Months,0),4)))),0)</f>
        <v>0</v>
      </c>
      <c r="AA10" s="435" t="str">
        <f>IF(ProposedLoans!$M10&gt;0,PMT(((365/360)*ProposedLoans!$E10)/ProposedLoans!$O10,ProposedLoans!$N10,ProposedLoans!$F10*-1)*ProposedLoans!$O10,"")</f>
        <v/>
      </c>
      <c r="AB10" s="436">
        <f>IF(I10="no",IF(ProposedLoans!$M10&gt;0,PPMT(((365/360)*ProposedLoans!$E10)/ProposedLoans!$O10,1,ProposedLoans!$N10,ProposedLoans!$F10*-1)*ProposedLoans!$O10,),IF(F10&gt;0,IF(ProposedLoans!$M10&lt;&gt;0,IF(R10=1,U10,IF(E10=0,R10*U10,U10)),ProposedLoans!$AA10),))</f>
        <v>0</v>
      </c>
      <c r="AC10" s="435" t="str">
        <f>IF(ProposedLoans!$M10&gt;0,ProposedLoans!$F10-ProposedLoans!$AB10,"")</f>
        <v/>
      </c>
      <c r="AD10" s="621" t="str">
        <f>IF(E10&gt;0,IF(AC10&lt;AB10,AC10,IF(ProposedLoans!$M10&lt;&gt;0,CUMPRINC(((365/360)*E10)/O10,N10,F10,1+Q10,Q10+Q10,0)*-1,)),ProposedLoans!$AA10)</f>
        <v/>
      </c>
      <c r="AE10" s="621">
        <f t="shared" si="6"/>
        <v>0</v>
      </c>
      <c r="AF10" s="595" t="str">
        <f t="shared" si="0"/>
        <v/>
      </c>
      <c r="AG10" s="609" t="str">
        <f t="shared" si="7"/>
        <v/>
      </c>
      <c r="AH10" s="609">
        <f t="shared" si="8"/>
        <v>0</v>
      </c>
      <c r="AI10" s="598"/>
      <c r="AJ10" s="598"/>
      <c r="AK10" s="598"/>
      <c r="AL10" s="598"/>
      <c r="AM10" s="598"/>
    </row>
    <row r="11" spans="1:39" s="91" customFormat="1" ht="24.95" customHeight="1" x14ac:dyDescent="0.2">
      <c r="A11" s="429" t="str">
        <f>IF(ProposedLoans!$M11&gt;0,DATE((H11+1),1,1),"")</f>
        <v/>
      </c>
      <c r="B11" s="431"/>
      <c r="C11" s="431"/>
      <c r="D11" s="431"/>
      <c r="E11" s="619"/>
      <c r="F11" s="432"/>
      <c r="G11" s="432"/>
      <c r="H11" s="433"/>
      <c r="I11" s="433"/>
      <c r="J11" s="433"/>
      <c r="K11" s="433"/>
      <c r="L11" s="434" t="str">
        <f>IF($H11&gt;0,DATE(H11,INDEX(Inputs!$C$4:$D$15,MATCH(K11,Months,0),2),1),"")</f>
        <v/>
      </c>
      <c r="M11" s="433"/>
      <c r="N11" s="541" t="str">
        <f>IF(ProposedLoans!$M11&gt;0,ProposedLoans!$J11*ProposedLoans!$O11,"")</f>
        <v/>
      </c>
      <c r="O11" s="541" t="str">
        <f t="shared" si="1"/>
        <v/>
      </c>
      <c r="P11" s="542" t="str">
        <f t="shared" si="2"/>
        <v/>
      </c>
      <c r="Q11" s="542">
        <f t="shared" si="3"/>
        <v>1</v>
      </c>
      <c r="R11" s="541" t="str">
        <f t="shared" si="4"/>
        <v/>
      </c>
      <c r="S11" s="543" t="str">
        <f>IF(I11="No",0,IF(ProposedLoans!$M11&gt;0,IF(R11=1,U11/Q11,(U11/Q11)),""))</f>
        <v/>
      </c>
      <c r="T11" s="543" t="str">
        <f>IF(I11="no",0,IF(ProposedLoans!$M11&gt;0,IF(R11=1,V11/Q11,R11*(V11/Q11)),""))</f>
        <v/>
      </c>
      <c r="U11" s="543" t="str">
        <f>IF(I11="No",0,IF(E11&gt;0,IF(ProposedLoans!$M11&lt;&gt;0,CUMPRINC(((365/360)*E11)/O11,N11,F11,1,Q11,0)*-1,),ProposedLoans!$AA11))</f>
        <v/>
      </c>
      <c r="V11" s="543">
        <f>IF(I11="no",0,IF(E11&gt;0,IF(ProposedLoans!$M11&lt;&gt;0,IF(OR(D11="Operating-Ag",D11="operating-Direct Mkt")=TRUE,(1-X11)*CUMIPMT(((365/360)*E11)/O11,N11,F11,1,Q11,0)*-1,CUMIPMT(((365/360)*E11)/O11,N11,F11,1,Q11,0)*-1),0),0))</f>
        <v>0</v>
      </c>
      <c r="W11" s="543">
        <f>IF(I11="no",0,IF(OR(D11="Operating-Ag",D11="Operating-DM")=TRUE,0,IF(E11&gt;0,IF(ProposedLoans!$M11&lt;&gt;0,CUMIPMT(((365/360)*E11)/O11,N11+Q11,F11,Q11+1,Q11+Q11,0)*-1,),0))*X11)</f>
        <v>0</v>
      </c>
      <c r="X11" s="605">
        <f>IF(M11&gt;0,INDEX(Inputs!$J$26:$K$37,MATCH(Y11,Inputs!$J$26:$J$37,0),2)/12,0)</f>
        <v>0</v>
      </c>
      <c r="Y11" s="543" t="str">
        <f t="shared" si="5"/>
        <v/>
      </c>
      <c r="Z11" s="543">
        <f>IF(M11&lt;&gt;0,IF(M11="annual",INDEX(Inputs!$C$4:$E$15,MATCH(ProposedLoans!K11,Months,0),3),IF(M11="semi-annual",IF(Q11=2,CONCATENATE(INDEX(Inputs!$C$4:$E$15,MATCH(ProposedLoans!K11,Months,0),3),",",INDEX(Inputs!$C$4:$E$15,MATCH(MONTH(L11+190),Inputs!$D$4:$D$15,0),3)),INDEX(Inputs!$C$4:$E$15,MATCH(ProposedLoans!K11,Months,0),3)),IF(M11="Quarterly",IF(Q11=4,CONCATENATE(INDEX(Inputs!$C$4:$E$15,MATCH(ProposedLoans!K11,Months,0),3),",",INDEX(Inputs!$C$4:$E$15,MATCH(MONTH(L11+95),Inputs!$D$4:$D$15,0),3),",",INDEX(Inputs!$C$4:$E$15,MATCH(MONTH(L11+190),Inputs!$D$4:$D$15,0),3),",",INDEX(Inputs!$C$4:$E$15,MATCH(MONTH(L11+275),Inputs!$D$4:$D$15,0),3)),IF(Q11=3,CONCATENATE(INDEX(Inputs!$C$4:$E$15,MATCH(ProposedLoans!K11,Months,0),3),",",INDEX(Inputs!$C$4:$E$15,MATCH(MONTH(L11+95),Inputs!$D$4:$D$15,0),3),",",INDEX(Inputs!$C$4:$E$15,MATCH(MONTH(L11+190),Inputs!$D$4:$D$15,0),3)),IF(Q11=2,CONCATENATE(INDEX(Inputs!$C$4:$E$15,MATCH(ProposedLoans!K11,Months,0),3),",",INDEX(Inputs!$C$4:$E$15,MATCH(MONTH(L11+95),Inputs!$D$4:$D$15,0),3)),INDEX(Inputs!$C$4:$E$15,MATCH(ProposedLoans!K11,Months,0),3)))),INDEX(Inputs!$C$4:$F$15,MATCH(ProposedLoans!K11,Months,0),4)))),0)</f>
        <v>0</v>
      </c>
      <c r="AA11" s="435" t="str">
        <f>IF(ProposedLoans!$M11&gt;0,PMT(((365/360)*ProposedLoans!$E11)/ProposedLoans!$O11,ProposedLoans!$N11,ProposedLoans!$F11*-1)*ProposedLoans!$O11,"")</f>
        <v/>
      </c>
      <c r="AB11" s="436">
        <f>IF(I11="no",IF(ProposedLoans!$M11&gt;0,PPMT(((365/360)*ProposedLoans!$E11)/ProposedLoans!$O11,1,ProposedLoans!$N11,ProposedLoans!$F11*-1)*ProposedLoans!$O11,),IF(F11&gt;0,IF(ProposedLoans!$M11&lt;&gt;0,IF(R11=1,U11,IF(E11=0,R11*U11,U11)),ProposedLoans!$AA11),))</f>
        <v>0</v>
      </c>
      <c r="AC11" s="435" t="str">
        <f>IF(ProposedLoans!$M11&gt;0,ProposedLoans!$F11-ProposedLoans!$AB11,"")</f>
        <v/>
      </c>
      <c r="AD11" s="621" t="str">
        <f>IF(E11&gt;0,IF(AC11&lt;AB11,AC11,IF(ProposedLoans!$M11&lt;&gt;0,CUMPRINC(((365/360)*E11)/O11,N11,F11,1+Q11,Q11+Q11,0)*-1,)),ProposedLoans!$AA11)</f>
        <v/>
      </c>
      <c r="AE11" s="621">
        <f t="shared" si="6"/>
        <v>0</v>
      </c>
      <c r="AF11" s="595" t="str">
        <f t="shared" si="0"/>
        <v/>
      </c>
      <c r="AG11" s="609" t="str">
        <f t="shared" si="7"/>
        <v/>
      </c>
      <c r="AH11" s="609">
        <f t="shared" si="8"/>
        <v>0</v>
      </c>
      <c r="AI11" s="598"/>
      <c r="AJ11" s="598"/>
      <c r="AK11" s="598"/>
      <c r="AL11" s="598"/>
      <c r="AM11" s="598"/>
    </row>
    <row r="12" spans="1:39" s="91" customFormat="1" ht="24.95" customHeight="1" x14ac:dyDescent="0.2">
      <c r="A12" s="429" t="str">
        <f>IF(ProposedLoans!$M12&gt;0,DATE((H12+1),1,1),"")</f>
        <v/>
      </c>
      <c r="B12" s="431"/>
      <c r="C12" s="431"/>
      <c r="D12" s="431"/>
      <c r="E12" s="619"/>
      <c r="F12" s="432"/>
      <c r="G12" s="432"/>
      <c r="H12" s="433"/>
      <c r="I12" s="433"/>
      <c r="J12" s="433"/>
      <c r="K12" s="433"/>
      <c r="L12" s="434" t="str">
        <f>IF($H12&gt;0,DATE(H12,INDEX(Inputs!$C$4:$D$15,MATCH(K12,Months,0),2),1),"")</f>
        <v/>
      </c>
      <c r="M12" s="433"/>
      <c r="N12" s="541" t="str">
        <f>IF(ProposedLoans!$M12&gt;0,ProposedLoans!$J12*ProposedLoans!$O12,"")</f>
        <v/>
      </c>
      <c r="O12" s="541" t="str">
        <f t="shared" si="1"/>
        <v/>
      </c>
      <c r="P12" s="542" t="str">
        <f t="shared" si="2"/>
        <v/>
      </c>
      <c r="Q12" s="542">
        <f t="shared" si="3"/>
        <v>1</v>
      </c>
      <c r="R12" s="541" t="str">
        <f t="shared" si="4"/>
        <v/>
      </c>
      <c r="S12" s="543" t="str">
        <f>IF(I12="No",0,IF(ProposedLoans!$M12&gt;0,IF(R12=1,U12/Q12,(U12/Q12)),""))</f>
        <v/>
      </c>
      <c r="T12" s="543" t="str">
        <f>IF(I12="no",0,IF(ProposedLoans!$M12&gt;0,IF(R12=1,V12/Q12,R12*(V12/Q12)),""))</f>
        <v/>
      </c>
      <c r="U12" s="543" t="str">
        <f>IF(I12="No",0,IF(E12&gt;0,IF(ProposedLoans!$M12&lt;&gt;0,CUMPRINC(((365/360)*E12)/O12,N12,F12,1,Q12,0)*-1,),ProposedLoans!$AA12))</f>
        <v/>
      </c>
      <c r="V12" s="543">
        <f>IF(I12="no",0,IF(E12&gt;0,IF(ProposedLoans!$M12&lt;&gt;0,IF(OR(D12="Operating-Ag",D12="operating-Direct Mkt")=TRUE,(1-X12)*CUMIPMT(((365/360)*E12)/O12,N12,F12,1,Q12,0)*-1,CUMIPMT(((365/360)*E12)/O12,N12,F12,1,Q12,0)*-1),0),0))</f>
        <v>0</v>
      </c>
      <c r="W12" s="543">
        <f>IF(I12="no",0,IF(OR(D12="Operating-Ag",D12="Operating-DM")=TRUE,0,IF(E12&gt;0,IF(ProposedLoans!$M12&lt;&gt;0,CUMIPMT(((365/360)*E12)/O12,N12+Q12,F12,Q12+1,Q12+Q12,0)*-1,),0))*X12)</f>
        <v>0</v>
      </c>
      <c r="X12" s="605">
        <f>IF(M12&gt;0,INDEX(Inputs!$J$26:$K$37,MATCH(Y12,Inputs!$J$26:$J$37,0),2)/12,0)</f>
        <v>0</v>
      </c>
      <c r="Y12" s="543" t="str">
        <f t="shared" si="5"/>
        <v/>
      </c>
      <c r="Z12" s="543">
        <f>IF(M12&lt;&gt;0,IF(M12="annual",INDEX(Inputs!$C$4:$E$15,MATCH(ProposedLoans!K12,Months,0),3),IF(M12="semi-annual",IF(Q12=2,CONCATENATE(INDEX(Inputs!$C$4:$E$15,MATCH(ProposedLoans!K12,Months,0),3),",",INDEX(Inputs!$C$4:$E$15,MATCH(MONTH(L12+190),Inputs!$D$4:$D$15,0),3)),INDEX(Inputs!$C$4:$E$15,MATCH(ProposedLoans!K12,Months,0),3)),IF(M12="Quarterly",IF(Q12=4,CONCATENATE(INDEX(Inputs!$C$4:$E$15,MATCH(ProposedLoans!K12,Months,0),3),",",INDEX(Inputs!$C$4:$E$15,MATCH(MONTH(L12+95),Inputs!$D$4:$D$15,0),3),",",INDEX(Inputs!$C$4:$E$15,MATCH(MONTH(L12+190),Inputs!$D$4:$D$15,0),3),",",INDEX(Inputs!$C$4:$E$15,MATCH(MONTH(L12+275),Inputs!$D$4:$D$15,0),3)),IF(Q12=3,CONCATENATE(INDEX(Inputs!$C$4:$E$15,MATCH(ProposedLoans!K12,Months,0),3),",",INDEX(Inputs!$C$4:$E$15,MATCH(MONTH(L12+95),Inputs!$D$4:$D$15,0),3),",",INDEX(Inputs!$C$4:$E$15,MATCH(MONTH(L12+190),Inputs!$D$4:$D$15,0),3)),IF(Q12=2,CONCATENATE(INDEX(Inputs!$C$4:$E$15,MATCH(ProposedLoans!K12,Months,0),3),",",INDEX(Inputs!$C$4:$E$15,MATCH(MONTH(L12+95),Inputs!$D$4:$D$15,0),3)),INDEX(Inputs!$C$4:$E$15,MATCH(ProposedLoans!K12,Months,0),3)))),INDEX(Inputs!$C$4:$F$15,MATCH(ProposedLoans!K12,Months,0),4)))),0)</f>
        <v>0</v>
      </c>
      <c r="AA12" s="435" t="str">
        <f>IF(ProposedLoans!$M12&gt;0,PMT(((365/360)*ProposedLoans!$E12)/ProposedLoans!$O12,ProposedLoans!$N12,ProposedLoans!$F12*-1)*ProposedLoans!$O12,"")</f>
        <v/>
      </c>
      <c r="AB12" s="436">
        <f>IF(I12="no",IF(ProposedLoans!$M12&gt;0,PPMT(((365/360)*ProposedLoans!$E12)/ProposedLoans!$O12,1,ProposedLoans!$N12,ProposedLoans!$F12*-1)*ProposedLoans!$O12,),IF(F12&gt;0,IF(ProposedLoans!$M12&lt;&gt;0,IF(R12=1,U12,IF(E12=0,R12*U12,U12)),ProposedLoans!$AA12),))</f>
        <v>0</v>
      </c>
      <c r="AC12" s="435" t="str">
        <f>IF(ProposedLoans!$M12&gt;0,ProposedLoans!$F12-ProposedLoans!$AB12,"")</f>
        <v/>
      </c>
      <c r="AD12" s="621" t="str">
        <f>IF(E12&gt;0,IF(AC12&lt;AB12,AC12,IF(ProposedLoans!$M12&lt;&gt;0,CUMPRINC(((365/360)*E12)/O12,N12,F12,1+Q12,Q12+Q12,0)*-1,)),ProposedLoans!$AA12)</f>
        <v/>
      </c>
      <c r="AE12" s="621">
        <f t="shared" si="6"/>
        <v>0</v>
      </c>
      <c r="AF12" s="595" t="str">
        <f t="shared" si="0"/>
        <v/>
      </c>
      <c r="AG12" s="609" t="str">
        <f t="shared" si="7"/>
        <v/>
      </c>
      <c r="AH12" s="609">
        <f t="shared" si="8"/>
        <v>0</v>
      </c>
      <c r="AI12" s="598"/>
      <c r="AJ12" s="598"/>
      <c r="AK12" s="598"/>
      <c r="AL12" s="598"/>
      <c r="AM12" s="598"/>
    </row>
    <row r="13" spans="1:39" s="91" customFormat="1" ht="24.95" customHeight="1" x14ac:dyDescent="0.2">
      <c r="A13" s="429" t="str">
        <f>IF(ProposedLoans!$M13&gt;0,DATE((H13+1),1,1),"")</f>
        <v/>
      </c>
      <c r="B13" s="437"/>
      <c r="C13" s="437"/>
      <c r="D13" s="437"/>
      <c r="E13" s="620"/>
      <c r="F13" s="438"/>
      <c r="G13" s="438"/>
      <c r="H13" s="439"/>
      <c r="I13" s="439"/>
      <c r="J13" s="439"/>
      <c r="K13" s="439"/>
      <c r="L13" s="434" t="str">
        <f>IF($H13&gt;0,DATE(H13,INDEX(Inputs!$C$4:$D$15,MATCH(K13,Months,0),2),1),"")</f>
        <v/>
      </c>
      <c r="M13" s="439"/>
      <c r="N13" s="541" t="str">
        <f>IF(ProposedLoans!$M13&gt;0,ProposedLoans!$J13*ProposedLoans!$O13,"")</f>
        <v/>
      </c>
      <c r="O13" s="541" t="str">
        <f t="shared" si="1"/>
        <v/>
      </c>
      <c r="P13" s="542" t="str">
        <f t="shared" si="2"/>
        <v/>
      </c>
      <c r="Q13" s="542">
        <f t="shared" si="3"/>
        <v>1</v>
      </c>
      <c r="R13" s="541" t="str">
        <f t="shared" si="4"/>
        <v/>
      </c>
      <c r="S13" s="543" t="str">
        <f>IF(I13="No",0,IF(ProposedLoans!$M13&gt;0,IF(R13=1,U13/Q13,(U13/Q13)),""))</f>
        <v/>
      </c>
      <c r="T13" s="543" t="str">
        <f>IF(I13="no",0,IF(ProposedLoans!$M13&gt;0,IF(R13=1,V13/Q13,R13*(V13/Q13)),""))</f>
        <v/>
      </c>
      <c r="U13" s="543" t="str">
        <f>IF(I13="No",0,IF(E13&gt;0,IF(ProposedLoans!$M13&lt;&gt;0,CUMPRINC(((365/360)*E13)/O13,N13,F13,1,Q13,0)*-1,),ProposedLoans!$AA13))</f>
        <v/>
      </c>
      <c r="V13" s="543">
        <f>IF(I13="no",0,IF(E13&gt;0,IF(ProposedLoans!$M13&lt;&gt;0,IF(OR(D13="Operating-Ag",D13="operating-Direct Mkt")=TRUE,(1-X13)*CUMIPMT(((365/360)*E13)/O13,N13,F13,1,Q13,0)*-1,CUMIPMT(((365/360)*E13)/O13,N13,F13,1,Q13,0)*-1),0),0))</f>
        <v>0</v>
      </c>
      <c r="W13" s="543">
        <f>IF(I13="no",0,IF(OR(D13="Operating-Ag",D13="Operating-DM")=TRUE,0,IF(E13&gt;0,IF(ProposedLoans!$M13&lt;&gt;0,CUMIPMT(((365/360)*E13)/O13,N13+Q13,F13,Q13+1,Q13+Q13,0)*-1,),0))*X13)</f>
        <v>0</v>
      </c>
      <c r="X13" s="605">
        <f>IF(M13&gt;0,INDEX(Inputs!$J$26:$K$37,MATCH(Y13,Inputs!$J$26:$J$37,0),2)/12,0)</f>
        <v>0</v>
      </c>
      <c r="Y13" s="543" t="str">
        <f t="shared" si="5"/>
        <v/>
      </c>
      <c r="Z13" s="543">
        <f>IF(M13&lt;&gt;0,IF(M13="annual",INDEX(Inputs!$C$4:$E$15,MATCH(ProposedLoans!K13,Months,0),3),IF(M13="semi-annual",IF(Q13=2,CONCATENATE(INDEX(Inputs!$C$4:$E$15,MATCH(ProposedLoans!K13,Months,0),3),",",INDEX(Inputs!$C$4:$E$15,MATCH(MONTH(L13+190),Inputs!$D$4:$D$15,0),3)),INDEX(Inputs!$C$4:$E$15,MATCH(ProposedLoans!K13,Months,0),3)),IF(M13="Quarterly",IF(Q13=4,CONCATENATE(INDEX(Inputs!$C$4:$E$15,MATCH(ProposedLoans!K13,Months,0),3),",",INDEX(Inputs!$C$4:$E$15,MATCH(MONTH(L13+95),Inputs!$D$4:$D$15,0),3),",",INDEX(Inputs!$C$4:$E$15,MATCH(MONTH(L13+190),Inputs!$D$4:$D$15,0),3),",",INDEX(Inputs!$C$4:$E$15,MATCH(MONTH(L13+275),Inputs!$D$4:$D$15,0),3)),IF(Q13=3,CONCATENATE(INDEX(Inputs!$C$4:$E$15,MATCH(ProposedLoans!K13,Months,0),3),",",INDEX(Inputs!$C$4:$E$15,MATCH(MONTH(L13+95),Inputs!$D$4:$D$15,0),3),",",INDEX(Inputs!$C$4:$E$15,MATCH(MONTH(L13+190),Inputs!$D$4:$D$15,0),3)),IF(Q13=2,CONCATENATE(INDEX(Inputs!$C$4:$E$15,MATCH(ProposedLoans!K13,Months,0),3),",",INDEX(Inputs!$C$4:$E$15,MATCH(MONTH(L13+95),Inputs!$D$4:$D$15,0),3)),INDEX(Inputs!$C$4:$E$15,MATCH(ProposedLoans!K13,Months,0),3)))),INDEX(Inputs!$C$4:$F$15,MATCH(ProposedLoans!K13,Months,0),4)))),0)</f>
        <v>0</v>
      </c>
      <c r="AA13" s="435" t="str">
        <f>IF(ProposedLoans!$M13&gt;0,PMT(((365/360)*ProposedLoans!$E13)/ProposedLoans!$O13,ProposedLoans!$N13,ProposedLoans!$F13*-1)*ProposedLoans!$O13,"")</f>
        <v/>
      </c>
      <c r="AB13" s="436">
        <f>IF(I13="no",IF(ProposedLoans!$M13&gt;0,PPMT(((365/360)*ProposedLoans!$E13)/ProposedLoans!$O13,1,ProposedLoans!$N13,ProposedLoans!$F13*-1)*ProposedLoans!$O13,),IF(F13&gt;0,IF(ProposedLoans!$M13&lt;&gt;0,IF(R13=1,U13,IF(E13=0,R13*U13,U13)),ProposedLoans!$AA13),))</f>
        <v>0</v>
      </c>
      <c r="AC13" s="435" t="str">
        <f>IF(ProposedLoans!$M13&gt;0,ProposedLoans!$F13-ProposedLoans!$AB13,"")</f>
        <v/>
      </c>
      <c r="AD13" s="621" t="str">
        <f>IF(E13&gt;0,IF(AC13&lt;AB13,AC13,IF(ProposedLoans!$M13&lt;&gt;0,CUMPRINC(((365/360)*E13)/O13,N13,F13,1+Q13,Q13+Q13,0)*-1,)),ProposedLoans!$AA13)</f>
        <v/>
      </c>
      <c r="AE13" s="621">
        <f t="shared" si="6"/>
        <v>0</v>
      </c>
      <c r="AF13" s="595" t="str">
        <f t="shared" si="0"/>
        <v/>
      </c>
      <c r="AG13" s="609" t="str">
        <f t="shared" si="7"/>
        <v/>
      </c>
      <c r="AH13" s="609">
        <f t="shared" si="8"/>
        <v>0</v>
      </c>
      <c r="AI13" s="598"/>
      <c r="AJ13" s="598"/>
      <c r="AK13" s="598"/>
      <c r="AL13" s="598"/>
      <c r="AM13" s="598"/>
    </row>
    <row r="14" spans="1:39" s="91" customFormat="1" ht="24.95" customHeight="1" x14ac:dyDescent="0.2">
      <c r="A14" s="429" t="str">
        <f>IF(ProposedLoans!$M20&gt;0,DATE((H20+1),1,1),"")</f>
        <v/>
      </c>
      <c r="B14" s="437"/>
      <c r="C14" s="437"/>
      <c r="D14" s="437"/>
      <c r="E14" s="620"/>
      <c r="F14" s="438"/>
      <c r="G14" s="438"/>
      <c r="H14" s="439"/>
      <c r="I14" s="439"/>
      <c r="J14" s="439"/>
      <c r="K14" s="439"/>
      <c r="L14" s="434" t="str">
        <f>IF($H14&gt;0,DATE(H14,INDEX(Inputs!$C$4:$D$15,MATCH(K14,Months,0),2),1),"")</f>
        <v/>
      </c>
      <c r="M14" s="439"/>
      <c r="N14" s="541" t="str">
        <f>IF(ProposedLoans!$M14&gt;0,ProposedLoans!$J14*ProposedLoans!$O14,"")</f>
        <v/>
      </c>
      <c r="O14" s="541" t="str">
        <f t="shared" si="1"/>
        <v/>
      </c>
      <c r="P14" s="542" t="str">
        <f t="shared" si="2"/>
        <v/>
      </c>
      <c r="Q14" s="542">
        <f t="shared" si="3"/>
        <v>1</v>
      </c>
      <c r="R14" s="541" t="str">
        <f t="shared" si="4"/>
        <v/>
      </c>
      <c r="S14" s="543" t="str">
        <f>IF(I14="No",0,IF(ProposedLoans!$M14&gt;0,IF(R14=1,U14/Q14,(U14/Q14)),""))</f>
        <v/>
      </c>
      <c r="T14" s="543" t="str">
        <f>IF(I14="no",0,IF(ProposedLoans!$M14&gt;0,IF(R14=1,V14/Q14,R14*(V14/Q14)),""))</f>
        <v/>
      </c>
      <c r="U14" s="543" t="str">
        <f>IF(I14="No",0,IF(E14&gt;0,IF(ProposedLoans!$M14&lt;&gt;0,CUMPRINC(((365/360)*E14)/O14,N14,F14,1,Q14,0)*-1,),ProposedLoans!$AA14))</f>
        <v/>
      </c>
      <c r="V14" s="543">
        <f>IF(I14="no",0,IF(E14&gt;0,IF(ProposedLoans!$M14&lt;&gt;0,IF(OR(D14="Operating-Ag",D14="operating-Direct Mkt")=TRUE,(1-X14)*CUMIPMT(((365/360)*E14)/O14,N14,F14,1,Q14,0)*-1,CUMIPMT(((365/360)*E14)/O14,N14,F14,1,Q14,0)*-1),0),0))</f>
        <v>0</v>
      </c>
      <c r="W14" s="543">
        <f>IF(I14="no",0,IF(OR(D14="Operating-Ag",D14="Operating-DM")=TRUE,0,IF(E14&gt;0,IF(ProposedLoans!$M14&lt;&gt;0,CUMIPMT(((365/360)*E14)/O14,N14+Q14,F14,Q14+1,Q14+Q14,0)*-1,),0))*X14)</f>
        <v>0</v>
      </c>
      <c r="X14" s="605">
        <f>IF(M14&gt;0,INDEX(Inputs!$J$26:$K$37,MATCH(Y14,Inputs!$J$26:$J$37,0),2)/12,0)</f>
        <v>0</v>
      </c>
      <c r="Y14" s="543" t="str">
        <f t="shared" si="5"/>
        <v/>
      </c>
      <c r="Z14" s="543">
        <f>IF(M14&lt;&gt;0,IF(M14="annual",INDEX(Inputs!$C$4:$E$15,MATCH(ProposedLoans!K14,Months,0),3),IF(M14="semi-annual",IF(Q14=2,CONCATENATE(INDEX(Inputs!$C$4:$E$15,MATCH(ProposedLoans!K14,Months,0),3),",",INDEX(Inputs!$C$4:$E$15,MATCH(MONTH(L14+190),Inputs!$D$4:$D$15,0),3)),INDEX(Inputs!$C$4:$E$15,MATCH(ProposedLoans!K14,Months,0),3)),IF(M14="Quarterly",IF(Q14=4,CONCATENATE(INDEX(Inputs!$C$4:$E$15,MATCH(ProposedLoans!K14,Months,0),3),",",INDEX(Inputs!$C$4:$E$15,MATCH(MONTH(L14+95),Inputs!$D$4:$D$15,0),3),",",INDEX(Inputs!$C$4:$E$15,MATCH(MONTH(L14+190),Inputs!$D$4:$D$15,0),3),",",INDEX(Inputs!$C$4:$E$15,MATCH(MONTH(L14+275),Inputs!$D$4:$D$15,0),3)),IF(Q14=3,CONCATENATE(INDEX(Inputs!$C$4:$E$15,MATCH(ProposedLoans!K14,Months,0),3),",",INDEX(Inputs!$C$4:$E$15,MATCH(MONTH(L14+95),Inputs!$D$4:$D$15,0),3),",",INDEX(Inputs!$C$4:$E$15,MATCH(MONTH(L14+190),Inputs!$D$4:$D$15,0),3)),IF(Q14=2,CONCATENATE(INDEX(Inputs!$C$4:$E$15,MATCH(ProposedLoans!K14,Months,0),3),",",INDEX(Inputs!$C$4:$E$15,MATCH(MONTH(L14+95),Inputs!$D$4:$D$15,0),3)),INDEX(Inputs!$C$4:$E$15,MATCH(ProposedLoans!K14,Months,0),3)))),INDEX(Inputs!$C$4:$F$15,MATCH(ProposedLoans!K14,Months,0),4)))),0)</f>
        <v>0</v>
      </c>
      <c r="AA14" s="435" t="str">
        <f>IF(ProposedLoans!$M14&gt;0,PMT(((365/360)*ProposedLoans!$E14)/ProposedLoans!$O14,ProposedLoans!$N14,ProposedLoans!$F14*-1)*ProposedLoans!$O14,"")</f>
        <v/>
      </c>
      <c r="AB14" s="436">
        <f>IF(I14="no",IF(ProposedLoans!$M14&gt;0,PPMT(((365/360)*ProposedLoans!$E14)/ProposedLoans!$O14,1,ProposedLoans!$N14,ProposedLoans!$F14*-1)*ProposedLoans!$O14,),IF(F14&gt;0,IF(ProposedLoans!$M14&lt;&gt;0,IF(R14=1,U14,IF(E14=0,R14*U14,U14)),ProposedLoans!$AA14),))</f>
        <v>0</v>
      </c>
      <c r="AC14" s="435" t="str">
        <f>IF(ProposedLoans!$M14&gt;0,ProposedLoans!$F14-ProposedLoans!$AB14,"")</f>
        <v/>
      </c>
      <c r="AD14" s="621" t="str">
        <f>IF(E20&gt;0,IF(AC20&lt;AB20,AC20,IF(ProposedLoans!$M20&lt;&gt;0,CUMPRINC(((365/360)*E20)/O20,N20,F20,1+Q20,Q20+Q20,0)*-1,)),ProposedLoans!$AA20)</f>
        <v/>
      </c>
      <c r="AE14" s="621">
        <f>IF(M20&gt;0,IF(I20="Yes",AC20-AD14,AC20),0)</f>
        <v>0</v>
      </c>
      <c r="AF14" s="595" t="str">
        <f>IF(D20&gt;0,D20,"")</f>
        <v/>
      </c>
      <c r="AG14" s="609" t="str">
        <f>IF(OR(D20="Operating-Ag",D20="Operating-Direct Mkt")=TRUE,AB20,AD14)</f>
        <v/>
      </c>
      <c r="AH14" s="609">
        <f>IF(OR(E20="Operating-Ag",D20="Operating-Direct Mkt")=TRUE,AC20,AE14)</f>
        <v>0</v>
      </c>
      <c r="AI14" s="598"/>
      <c r="AJ14" s="598"/>
      <c r="AK14" s="598"/>
      <c r="AL14" s="598"/>
      <c r="AM14" s="598"/>
    </row>
    <row r="15" spans="1:39" s="91" customFormat="1" ht="24.95" customHeight="1" x14ac:dyDescent="0.2">
      <c r="A15" s="429" t="str">
        <f>IF(ProposedLoans!$M21&gt;0,DATE((H21+1),1,1),"")</f>
        <v/>
      </c>
      <c r="B15" s="437"/>
      <c r="C15" s="437"/>
      <c r="D15" s="437"/>
      <c r="E15" s="620"/>
      <c r="F15" s="438"/>
      <c r="G15" s="438"/>
      <c r="H15" s="439"/>
      <c r="I15" s="439"/>
      <c r="J15" s="439"/>
      <c r="K15" s="439"/>
      <c r="L15" s="434" t="str">
        <f>IF($H15&gt;0,DATE(H15,INDEX(Inputs!$C$4:$D$15,MATCH(K15,Months,0),2),1),"")</f>
        <v/>
      </c>
      <c r="M15" s="439"/>
      <c r="N15" s="541" t="str">
        <f>IF(ProposedLoans!$M15&gt;0,ProposedLoans!$J15*ProposedLoans!$O15,"")</f>
        <v/>
      </c>
      <c r="O15" s="541" t="str">
        <f t="shared" si="1"/>
        <v/>
      </c>
      <c r="P15" s="542" t="str">
        <f t="shared" si="2"/>
        <v/>
      </c>
      <c r="Q15" s="542">
        <f t="shared" si="3"/>
        <v>1</v>
      </c>
      <c r="R15" s="541" t="str">
        <f t="shared" si="4"/>
        <v/>
      </c>
      <c r="S15" s="543" t="str">
        <f>IF(I15="No",0,IF(ProposedLoans!$M15&gt;0,IF(R15=1,U15/Q15,(U15/Q15)),""))</f>
        <v/>
      </c>
      <c r="T15" s="543" t="str">
        <f>IF(I15="no",0,IF(ProposedLoans!$M15&gt;0,IF(R15=1,V15/Q15,R15*(V15/Q15)),""))</f>
        <v/>
      </c>
      <c r="U15" s="543" t="str">
        <f>IF(I15="No",0,IF(E15&gt;0,IF(ProposedLoans!$M15&lt;&gt;0,CUMPRINC(((365/360)*E15)/O15,N15,F15,1,Q15,0)*-1,),ProposedLoans!$AA15))</f>
        <v/>
      </c>
      <c r="V15" s="543">
        <f>IF(I15="no",0,IF(E15&gt;0,IF(ProposedLoans!$M15&lt;&gt;0,IF(OR(D15="Operating-Ag",D15="operating-Direct Mkt")=TRUE,(1-X15)*CUMIPMT(((365/360)*E15)/O15,N15,F15,1,Q15,0)*-1,CUMIPMT(((365/360)*E15)/O15,N15,F15,1,Q15,0)*-1),0),0))</f>
        <v>0</v>
      </c>
      <c r="W15" s="543">
        <f>IF(I15="no",0,IF(OR(D15="Operating-Ag",D15="Operating-DM")=TRUE,0,IF(E15&gt;0,IF(ProposedLoans!$M15&lt;&gt;0,CUMIPMT(((365/360)*E15)/O15,N15+Q15,F15,Q15+1,Q15+Q15,0)*-1,),0))*X15)</f>
        <v>0</v>
      </c>
      <c r="X15" s="605">
        <f>IF(M15&gt;0,INDEX(Inputs!$J$26:$K$37,MATCH(Y15,Inputs!$J$26:$J$37,0),2)/12,0)</f>
        <v>0</v>
      </c>
      <c r="Y15" s="543" t="str">
        <f t="shared" si="5"/>
        <v/>
      </c>
      <c r="Z15" s="543">
        <f>IF(M15&lt;&gt;0,IF(M15="annual",INDEX(Inputs!$C$4:$E$15,MATCH(ProposedLoans!K15,Months,0),3),IF(M15="semi-annual",IF(Q15=2,CONCATENATE(INDEX(Inputs!$C$4:$E$15,MATCH(ProposedLoans!K15,Months,0),3),",",INDEX(Inputs!$C$4:$E$15,MATCH(MONTH(L15+190),Inputs!$D$4:$D$15,0),3)),INDEX(Inputs!$C$4:$E$15,MATCH(ProposedLoans!K15,Months,0),3)),IF(M15="Quarterly",IF(Q15=4,CONCATENATE(INDEX(Inputs!$C$4:$E$15,MATCH(ProposedLoans!K15,Months,0),3),",",INDEX(Inputs!$C$4:$E$15,MATCH(MONTH(L15+95),Inputs!$D$4:$D$15,0),3),",",INDEX(Inputs!$C$4:$E$15,MATCH(MONTH(L15+190),Inputs!$D$4:$D$15,0),3),",",INDEX(Inputs!$C$4:$E$15,MATCH(MONTH(L15+275),Inputs!$D$4:$D$15,0),3)),IF(Q15=3,CONCATENATE(INDEX(Inputs!$C$4:$E$15,MATCH(ProposedLoans!K15,Months,0),3),",",INDEX(Inputs!$C$4:$E$15,MATCH(MONTH(L15+95),Inputs!$D$4:$D$15,0),3),",",INDEX(Inputs!$C$4:$E$15,MATCH(MONTH(L15+190),Inputs!$D$4:$D$15,0),3)),IF(Q15=2,CONCATENATE(INDEX(Inputs!$C$4:$E$15,MATCH(ProposedLoans!K15,Months,0),3),",",INDEX(Inputs!$C$4:$E$15,MATCH(MONTH(L15+95),Inputs!$D$4:$D$15,0),3)),INDEX(Inputs!$C$4:$E$15,MATCH(ProposedLoans!K15,Months,0),3)))),INDEX(Inputs!$C$4:$F$15,MATCH(ProposedLoans!K15,Months,0),4)))),0)</f>
        <v>0</v>
      </c>
      <c r="AA15" s="435" t="str">
        <f>IF(ProposedLoans!$M15&gt;0,PMT(((365/360)*ProposedLoans!$E15)/ProposedLoans!$O15,ProposedLoans!$N15,ProposedLoans!$F15*-1)*ProposedLoans!$O15,"")</f>
        <v/>
      </c>
      <c r="AB15" s="436">
        <f>IF(I15="no",IF(ProposedLoans!$M15&gt;0,PPMT(((365/360)*ProposedLoans!$E15)/ProposedLoans!$O15,1,ProposedLoans!$N15,ProposedLoans!$F15*-1)*ProposedLoans!$O15,),IF(F15&gt;0,IF(ProposedLoans!$M15&lt;&gt;0,IF(R15=1,U15,IF(E15=0,R15*U15,U15)),ProposedLoans!$AA15),))</f>
        <v>0</v>
      </c>
      <c r="AC15" s="435" t="str">
        <f>IF(ProposedLoans!$M15&gt;0,ProposedLoans!$F15-ProposedLoans!$AB15,"")</f>
        <v/>
      </c>
      <c r="AD15" s="621" t="str">
        <f>IF(E21&gt;0,IF(AC21&lt;AB21,AC21,IF(ProposedLoans!$M21&lt;&gt;0,CUMPRINC(((365/360)*E21)/O21,N21,F21,1+Q21,Q21+Q21,0)*-1,)),ProposedLoans!$AA21)</f>
        <v/>
      </c>
      <c r="AE15" s="621">
        <f>IF(M21&gt;0,IF(I21="Yes",AC21-AD15,AC21),0)</f>
        <v>0</v>
      </c>
      <c r="AF15" s="595" t="str">
        <f>IF(D21&gt;0,D21,"")</f>
        <v/>
      </c>
      <c r="AG15" s="609" t="str">
        <f>IF(OR(D21="Operating-Ag",D21="Operating-Direct Mkt")=TRUE,AB21,AD15)</f>
        <v/>
      </c>
      <c r="AH15" s="609">
        <f>IF(OR(E21="Operating-Ag",D21="Operating-Direct Mkt")=TRUE,AC21,AE15)</f>
        <v>0</v>
      </c>
      <c r="AI15" s="598"/>
      <c r="AJ15" s="598"/>
      <c r="AK15" s="598"/>
      <c r="AL15" s="598"/>
      <c r="AM15" s="598"/>
    </row>
    <row r="16" spans="1:39" s="93" customFormat="1" ht="24.95" customHeight="1" x14ac:dyDescent="0.2">
      <c r="A16" s="428"/>
      <c r="B16" s="437"/>
      <c r="C16" s="437"/>
      <c r="D16" s="437"/>
      <c r="E16" s="620"/>
      <c r="F16" s="438"/>
      <c r="G16" s="438"/>
      <c r="H16" s="439"/>
      <c r="I16" s="439"/>
      <c r="J16" s="439"/>
      <c r="K16" s="439"/>
      <c r="L16" s="434" t="str">
        <f>IF($H16&gt;0,DATE(H16,INDEX(Inputs!$C$4:$D$15,MATCH(K16,Months,0),2),1),"")</f>
        <v/>
      </c>
      <c r="M16" s="439"/>
      <c r="N16" s="541" t="str">
        <f>IF(ProposedLoans!$M16&gt;0,ProposedLoans!$J16*ProposedLoans!$O16,"")</f>
        <v/>
      </c>
      <c r="O16" s="541" t="str">
        <f t="shared" si="1"/>
        <v/>
      </c>
      <c r="P16" s="542" t="str">
        <f t="shared" si="2"/>
        <v/>
      </c>
      <c r="Q16" s="542">
        <f t="shared" si="3"/>
        <v>1</v>
      </c>
      <c r="R16" s="541" t="str">
        <f t="shared" si="4"/>
        <v/>
      </c>
      <c r="S16" s="543" t="str">
        <f>IF(I16="No",0,IF(ProposedLoans!$M16&gt;0,IF(R16=1,U16/Q16,(U16/Q16)),""))</f>
        <v/>
      </c>
      <c r="T16" s="543" t="str">
        <f>IF(I16="no",0,IF(ProposedLoans!$M16&gt;0,IF(R16=1,V16/Q16,R16*(V16/Q16)),""))</f>
        <v/>
      </c>
      <c r="U16" s="543" t="str">
        <f>IF(I16="No",0,IF(E16&gt;0,IF(ProposedLoans!$M16&lt;&gt;0,CUMPRINC(((365/360)*E16)/O16,N16,F16,1,Q16,0)*-1,),ProposedLoans!$AA16))</f>
        <v/>
      </c>
      <c r="V16" s="543">
        <f>IF(I16="no",0,IF(E16&gt;0,IF(ProposedLoans!$M16&lt;&gt;0,IF(OR(D16="Operating-Ag",D16="operating-Direct Mkt")=TRUE,(1-X16)*CUMIPMT(((365/360)*E16)/O16,N16,F16,1,Q16,0)*-1,CUMIPMT(((365/360)*E16)/O16,N16,F16,1,Q16,0)*-1),0),0))</f>
        <v>0</v>
      </c>
      <c r="W16" s="543">
        <f>IF(I16="no",0,IF(OR(D16="Operating-Ag",D16="Operating-DM")=TRUE,0,IF(E16&gt;0,IF(ProposedLoans!$M16&lt;&gt;0,CUMIPMT(((365/360)*E16)/O16,N16+Q16,F16,Q16+1,Q16+Q16,0)*-1,),0))*X16)</f>
        <v>0</v>
      </c>
      <c r="X16" s="605">
        <f>IF(M16&gt;0,INDEX(Inputs!$J$26:$K$37,MATCH(Y16,Inputs!$J$26:$J$37,0),2)/12,0)</f>
        <v>0</v>
      </c>
      <c r="Y16" s="543" t="str">
        <f t="shared" si="5"/>
        <v/>
      </c>
      <c r="Z16" s="543">
        <f>IF(M16&lt;&gt;0,IF(M16="annual",INDEX(Inputs!$C$4:$E$15,MATCH(ProposedLoans!K16,Months,0),3),IF(M16="semi-annual",IF(Q16=2,CONCATENATE(INDEX(Inputs!$C$4:$E$15,MATCH(ProposedLoans!K16,Months,0),3),",",INDEX(Inputs!$C$4:$E$15,MATCH(MONTH(L16+190),Inputs!$D$4:$D$15,0),3)),INDEX(Inputs!$C$4:$E$15,MATCH(ProposedLoans!K16,Months,0),3)),IF(M16="Quarterly",IF(Q16=4,CONCATENATE(INDEX(Inputs!$C$4:$E$15,MATCH(ProposedLoans!K16,Months,0),3),",",INDEX(Inputs!$C$4:$E$15,MATCH(MONTH(L16+95),Inputs!$D$4:$D$15,0),3),",",INDEX(Inputs!$C$4:$E$15,MATCH(MONTH(L16+190),Inputs!$D$4:$D$15,0),3),",",INDEX(Inputs!$C$4:$E$15,MATCH(MONTH(L16+275),Inputs!$D$4:$D$15,0),3)),IF(Q16=3,CONCATENATE(INDEX(Inputs!$C$4:$E$15,MATCH(ProposedLoans!K16,Months,0),3),",",INDEX(Inputs!$C$4:$E$15,MATCH(MONTH(L16+95),Inputs!$D$4:$D$15,0),3),",",INDEX(Inputs!$C$4:$E$15,MATCH(MONTH(L16+190),Inputs!$D$4:$D$15,0),3)),IF(Q16=2,CONCATENATE(INDEX(Inputs!$C$4:$E$15,MATCH(ProposedLoans!K16,Months,0),3),",",INDEX(Inputs!$C$4:$E$15,MATCH(MONTH(L16+95),Inputs!$D$4:$D$15,0),3)),INDEX(Inputs!$C$4:$E$15,MATCH(ProposedLoans!K16,Months,0),3)))),INDEX(Inputs!$C$4:$F$15,MATCH(ProposedLoans!K16,Months,0),4)))),0)</f>
        <v>0</v>
      </c>
      <c r="AA16" s="435" t="str">
        <f>IF(ProposedLoans!$M16&gt;0,PMT(((365/360)*ProposedLoans!$E16)/ProposedLoans!$O16,ProposedLoans!$N16,ProposedLoans!$F16*-1)*ProposedLoans!$O16,"")</f>
        <v/>
      </c>
      <c r="AB16" s="436">
        <f>IF(I16="no",IF(ProposedLoans!$M16&gt;0,PPMT(((365/360)*ProposedLoans!$E16)/ProposedLoans!$O16,1,ProposedLoans!$N16,ProposedLoans!$F16*-1)*ProposedLoans!$O16,),IF(F16&gt;0,IF(ProposedLoans!$M16&lt;&gt;0,IF(R16=1,U16,IF(E16=0,R16*U16,U16)),ProposedLoans!$AA16),))</f>
        <v>0</v>
      </c>
      <c r="AC16" s="435" t="str">
        <f>IF(ProposedLoans!$M16&gt;0,ProposedLoans!$F16-ProposedLoans!$AB16,"")</f>
        <v/>
      </c>
      <c r="AD16" s="596"/>
      <c r="AE16" s="596"/>
      <c r="AF16" s="596"/>
      <c r="AG16" s="596"/>
      <c r="AH16" s="596"/>
      <c r="AI16" s="610"/>
      <c r="AJ16" s="610"/>
      <c r="AK16" s="610"/>
      <c r="AL16" s="610"/>
      <c r="AM16" s="610"/>
    </row>
    <row r="17" spans="2:39" ht="24.95" customHeight="1" x14ac:dyDescent="0.2">
      <c r="B17" s="437"/>
      <c r="C17" s="437"/>
      <c r="D17" s="437"/>
      <c r="E17" s="620"/>
      <c r="F17" s="438"/>
      <c r="G17" s="438"/>
      <c r="H17" s="439"/>
      <c r="I17" s="439"/>
      <c r="J17" s="439"/>
      <c r="K17" s="439"/>
      <c r="L17" s="434" t="str">
        <f>IF($H17&gt;0,DATE(H17,INDEX(Inputs!$C$4:$D$15,MATCH(K17,Months,0),2),1),"")</f>
        <v/>
      </c>
      <c r="M17" s="439"/>
      <c r="N17" s="541" t="str">
        <f>IF(ProposedLoans!$M17&gt;0,ProposedLoans!$J17*ProposedLoans!$O17,"")</f>
        <v/>
      </c>
      <c r="O17" s="541" t="str">
        <f t="shared" si="1"/>
        <v/>
      </c>
      <c r="P17" s="542" t="str">
        <f t="shared" si="2"/>
        <v/>
      </c>
      <c r="Q17" s="542">
        <f t="shared" si="3"/>
        <v>1</v>
      </c>
      <c r="R17" s="541" t="str">
        <f t="shared" si="4"/>
        <v/>
      </c>
      <c r="S17" s="543" t="str">
        <f>IF(I17="No",0,IF(ProposedLoans!$M17&gt;0,IF(R17=1,U17/Q17,(U17/Q17)),""))</f>
        <v/>
      </c>
      <c r="T17" s="543" t="str">
        <f>IF(I17="no",0,IF(ProposedLoans!$M17&gt;0,IF(R17=1,V17/Q17,R17*(V17/Q17)),""))</f>
        <v/>
      </c>
      <c r="U17" s="543" t="str">
        <f>IF(I17="No",0,IF(E17&gt;0,IF(ProposedLoans!$M17&lt;&gt;0,CUMPRINC(((365/360)*E17)/O17,N17,F17,1,Q17,0)*-1,),ProposedLoans!$AA17))</f>
        <v/>
      </c>
      <c r="V17" s="543">
        <f>IF(I17="no",0,IF(E17&gt;0,IF(ProposedLoans!$M17&lt;&gt;0,IF(OR(D17="Operating-Ag",D17="operating-Direct Mkt")=TRUE,(1-X17)*CUMIPMT(((365/360)*E17)/O17,N17,F17,1,Q17,0)*-1,CUMIPMT(((365/360)*E17)/O17,N17,F17,1,Q17,0)*-1),0),0))</f>
        <v>0</v>
      </c>
      <c r="W17" s="543">
        <f>IF(I17="no",0,IF(OR(D17="Operating-Ag",D17="Operating-DM")=TRUE,0,IF(E17&gt;0,IF(ProposedLoans!$M17&lt;&gt;0,CUMIPMT(((365/360)*E17)/O17,N17+Q17,F17,Q17+1,Q17+Q17,0)*-1,),0))*X17)</f>
        <v>0</v>
      </c>
      <c r="X17" s="605">
        <f>IF(M17&gt;0,INDEX(Inputs!$J$26:$K$37,MATCH(Y17,Inputs!$J$26:$J$37,0),2)/12,0)</f>
        <v>0</v>
      </c>
      <c r="Y17" s="543" t="str">
        <f t="shared" si="5"/>
        <v/>
      </c>
      <c r="Z17" s="543">
        <f>IF(M17&lt;&gt;0,IF(M17="annual",INDEX(Inputs!$C$4:$E$15,MATCH(ProposedLoans!K17,Months,0),3),IF(M17="semi-annual",IF(Q17=2,CONCATENATE(INDEX(Inputs!$C$4:$E$15,MATCH(ProposedLoans!K17,Months,0),3),",",INDEX(Inputs!$C$4:$E$15,MATCH(MONTH(L17+190),Inputs!$D$4:$D$15,0),3)),INDEX(Inputs!$C$4:$E$15,MATCH(ProposedLoans!K17,Months,0),3)),IF(M17="Quarterly",IF(Q17=4,CONCATENATE(INDEX(Inputs!$C$4:$E$15,MATCH(ProposedLoans!K17,Months,0),3),",",INDEX(Inputs!$C$4:$E$15,MATCH(MONTH(L17+95),Inputs!$D$4:$D$15,0),3),",",INDEX(Inputs!$C$4:$E$15,MATCH(MONTH(L17+190),Inputs!$D$4:$D$15,0),3),",",INDEX(Inputs!$C$4:$E$15,MATCH(MONTH(L17+275),Inputs!$D$4:$D$15,0),3)),IF(Q17=3,CONCATENATE(INDEX(Inputs!$C$4:$E$15,MATCH(ProposedLoans!K17,Months,0),3),",",INDEX(Inputs!$C$4:$E$15,MATCH(MONTH(L17+95),Inputs!$D$4:$D$15,0),3),",",INDEX(Inputs!$C$4:$E$15,MATCH(MONTH(L17+190),Inputs!$D$4:$D$15,0),3)),IF(Q17=2,CONCATENATE(INDEX(Inputs!$C$4:$E$15,MATCH(ProposedLoans!K17,Months,0),3),",",INDEX(Inputs!$C$4:$E$15,MATCH(MONTH(L17+95),Inputs!$D$4:$D$15,0),3)),INDEX(Inputs!$C$4:$E$15,MATCH(ProposedLoans!K17,Months,0),3)))),INDEX(Inputs!$C$4:$F$15,MATCH(ProposedLoans!K17,Months,0),4)))),0)</f>
        <v>0</v>
      </c>
      <c r="AA17" s="435" t="str">
        <f>IF(ProposedLoans!$M17&gt;0,PMT(((365/360)*ProposedLoans!$E17)/ProposedLoans!$O17,ProposedLoans!$N17,ProposedLoans!$F17*-1)*ProposedLoans!$O17,"")</f>
        <v/>
      </c>
      <c r="AB17" s="436">
        <f>IF(I17="no",IF(ProposedLoans!$M17&gt;0,PPMT(((365/360)*ProposedLoans!$E17)/ProposedLoans!$O17,1,ProposedLoans!$N17,ProposedLoans!$F17*-1)*ProposedLoans!$O17,),IF(F17&gt;0,IF(ProposedLoans!$M17&lt;&gt;0,IF(R17=1,U17,IF(E17=0,R17*U17,U17)),ProposedLoans!$AA17),))</f>
        <v>0</v>
      </c>
      <c r="AC17" s="435" t="str">
        <f>IF(ProposedLoans!$M17&gt;0,ProposedLoans!$F17-ProposedLoans!$AB17,"")</f>
        <v/>
      </c>
      <c r="AF17" s="645"/>
      <c r="AG17" s="645"/>
      <c r="AH17" s="645"/>
      <c r="AI17" s="645"/>
      <c r="AJ17" s="645"/>
      <c r="AK17" s="644"/>
      <c r="AL17" s="644"/>
      <c r="AM17" s="644"/>
    </row>
    <row r="18" spans="2:39" ht="24.95" customHeight="1" x14ac:dyDescent="0.2">
      <c r="B18" s="437"/>
      <c r="C18" s="437"/>
      <c r="D18" s="437"/>
      <c r="E18" s="620"/>
      <c r="F18" s="438"/>
      <c r="G18" s="438"/>
      <c r="H18" s="439"/>
      <c r="I18" s="439"/>
      <c r="J18" s="439"/>
      <c r="K18" s="439"/>
      <c r="L18" s="434" t="str">
        <f>IF($H18&gt;0,DATE(H18,INDEX(Inputs!$C$4:$D$15,MATCH(K18,Months,0),2),1),"")</f>
        <v/>
      </c>
      <c r="M18" s="439"/>
      <c r="N18" s="541" t="str">
        <f>IF(ProposedLoans!$M18&gt;0,ProposedLoans!$J18*ProposedLoans!$O18,"")</f>
        <v/>
      </c>
      <c r="O18" s="541" t="str">
        <f t="shared" si="1"/>
        <v/>
      </c>
      <c r="P18" s="542" t="str">
        <f t="shared" si="2"/>
        <v/>
      </c>
      <c r="Q18" s="542">
        <f t="shared" si="3"/>
        <v>1</v>
      </c>
      <c r="R18" s="541" t="str">
        <f t="shared" si="4"/>
        <v/>
      </c>
      <c r="S18" s="543" t="str">
        <f>IF(I18="No",0,IF(ProposedLoans!$M18&gt;0,IF(R18=1,U18/Q18,(U18/Q18)),""))</f>
        <v/>
      </c>
      <c r="T18" s="543" t="str">
        <f>IF(I18="no",0,IF(ProposedLoans!$M18&gt;0,IF(R18=1,V18/Q18,R18*(V18/Q18)),""))</f>
        <v/>
      </c>
      <c r="U18" s="543" t="str">
        <f>IF(I18="No",0,IF(E18&gt;0,IF(ProposedLoans!$M18&lt;&gt;0,CUMPRINC(((365/360)*E18)/O18,N18,F18,1,Q18,0)*-1,),ProposedLoans!$AA18))</f>
        <v/>
      </c>
      <c r="V18" s="543">
        <f>IF(I18="no",0,IF(E18&gt;0,IF(ProposedLoans!$M18&lt;&gt;0,IF(OR(D18="Operating-Ag",D18="operating-Direct Mkt")=TRUE,(1-X18)*CUMIPMT(((365/360)*E18)/O18,N18,F18,1,Q18,0)*-1,CUMIPMT(((365/360)*E18)/O18,N18,F18,1,Q18,0)*-1),0),0))</f>
        <v>0</v>
      </c>
      <c r="W18" s="543">
        <f>IF(I18="no",0,IF(OR(D18="Operating-Ag",D18="Operating-DM")=TRUE,0,IF(E18&gt;0,IF(ProposedLoans!$M18&lt;&gt;0,CUMIPMT(((365/360)*E18)/O18,N18+Q18,F18,Q18+1,Q18+Q18,0)*-1,),0))*X18)</f>
        <v>0</v>
      </c>
      <c r="X18" s="605">
        <f>IF(M18&gt;0,INDEX(Inputs!$J$26:$K$37,MATCH(Y18,Inputs!$J$26:$J$37,0),2)/12,0)</f>
        <v>0</v>
      </c>
      <c r="Y18" s="543" t="str">
        <f t="shared" si="5"/>
        <v/>
      </c>
      <c r="Z18" s="543">
        <f>IF(M18&lt;&gt;0,IF(M18="annual",INDEX(Inputs!$C$4:$E$15,MATCH(ProposedLoans!K18,Months,0),3),IF(M18="semi-annual",IF(Q18=2,CONCATENATE(INDEX(Inputs!$C$4:$E$15,MATCH(ProposedLoans!K18,Months,0),3),",",INDEX(Inputs!$C$4:$E$15,MATCH(MONTH(L18+190),Inputs!$D$4:$D$15,0),3)),INDEX(Inputs!$C$4:$E$15,MATCH(ProposedLoans!K18,Months,0),3)),IF(M18="Quarterly",IF(Q18=4,CONCATENATE(INDEX(Inputs!$C$4:$E$15,MATCH(ProposedLoans!K18,Months,0),3),",",INDEX(Inputs!$C$4:$E$15,MATCH(MONTH(L18+95),Inputs!$D$4:$D$15,0),3),",",INDEX(Inputs!$C$4:$E$15,MATCH(MONTH(L18+190),Inputs!$D$4:$D$15,0),3),",",INDEX(Inputs!$C$4:$E$15,MATCH(MONTH(L18+275),Inputs!$D$4:$D$15,0),3)),IF(Q18=3,CONCATENATE(INDEX(Inputs!$C$4:$E$15,MATCH(ProposedLoans!K18,Months,0),3),",",INDEX(Inputs!$C$4:$E$15,MATCH(MONTH(L18+95),Inputs!$D$4:$D$15,0),3),",",INDEX(Inputs!$C$4:$E$15,MATCH(MONTH(L18+190),Inputs!$D$4:$D$15,0),3)),IF(Q18=2,CONCATENATE(INDEX(Inputs!$C$4:$E$15,MATCH(ProposedLoans!K18,Months,0),3),",",INDEX(Inputs!$C$4:$E$15,MATCH(MONTH(L18+95),Inputs!$D$4:$D$15,0),3)),INDEX(Inputs!$C$4:$E$15,MATCH(ProposedLoans!K18,Months,0),3)))),INDEX(Inputs!$C$4:$F$15,MATCH(ProposedLoans!K18,Months,0),4)))),0)</f>
        <v>0</v>
      </c>
      <c r="AA18" s="435" t="str">
        <f>IF(ProposedLoans!$M18&gt;0,PMT(((365/360)*ProposedLoans!$E18)/ProposedLoans!$O18,ProposedLoans!$N18,ProposedLoans!$F18*-1)*ProposedLoans!$O18,"")</f>
        <v/>
      </c>
      <c r="AB18" s="436">
        <f>IF(I18="no",IF(ProposedLoans!$M18&gt;0,PPMT(((365/360)*ProposedLoans!$E18)/ProposedLoans!$O18,1,ProposedLoans!$N18,ProposedLoans!$F18*-1)*ProposedLoans!$O18,),IF(F18&gt;0,IF(ProposedLoans!$M18&lt;&gt;0,IF(R18=1,U18,IF(E18=0,R18*U18,U18)),ProposedLoans!$AA18),))</f>
        <v>0</v>
      </c>
      <c r="AC18" s="435" t="str">
        <f>IF(ProposedLoans!$M18&gt;0,ProposedLoans!$F18-ProposedLoans!$AB18,"")</f>
        <v/>
      </c>
      <c r="AF18" s="645"/>
      <c r="AG18" s="645"/>
      <c r="AH18" s="645"/>
      <c r="AI18" s="645"/>
      <c r="AJ18" s="645"/>
      <c r="AK18" s="644"/>
      <c r="AL18" s="644"/>
      <c r="AM18" s="644"/>
    </row>
    <row r="19" spans="2:39" ht="24.95" customHeight="1" x14ac:dyDescent="0.2">
      <c r="B19" s="437"/>
      <c r="C19" s="437"/>
      <c r="D19" s="437"/>
      <c r="E19" s="620"/>
      <c r="F19" s="438"/>
      <c r="G19" s="438"/>
      <c r="H19" s="439"/>
      <c r="I19" s="439"/>
      <c r="J19" s="439"/>
      <c r="K19" s="439"/>
      <c r="L19" s="434" t="str">
        <f>IF($H19&gt;0,DATE(H19,INDEX(Inputs!$C$4:$D$15,MATCH(K19,Months,0),2),1),"")</f>
        <v/>
      </c>
      <c r="M19" s="439"/>
      <c r="N19" s="541" t="str">
        <f>IF(ProposedLoans!$M19&gt;0,ProposedLoans!$J19*ProposedLoans!$O19,"")</f>
        <v/>
      </c>
      <c r="O19" s="541" t="str">
        <f t="shared" si="1"/>
        <v/>
      </c>
      <c r="P19" s="542" t="str">
        <f t="shared" si="2"/>
        <v/>
      </c>
      <c r="Q19" s="542">
        <f t="shared" si="3"/>
        <v>1</v>
      </c>
      <c r="R19" s="541" t="str">
        <f t="shared" si="4"/>
        <v/>
      </c>
      <c r="S19" s="543" t="str">
        <f>IF(I19="No",0,IF(ProposedLoans!$M19&gt;0,IF(R19=1,U19/Q19,(U19/Q19)),""))</f>
        <v/>
      </c>
      <c r="T19" s="543" t="str">
        <f>IF(I19="no",0,IF(ProposedLoans!$M19&gt;0,IF(R19=1,V19/Q19,R19*(V19/Q19)),""))</f>
        <v/>
      </c>
      <c r="U19" s="543" t="str">
        <f>IF(I19="No",0,IF(E19&gt;0,IF(ProposedLoans!$M19&lt;&gt;0,CUMPRINC(((365/360)*E19)/O19,N19,F19,1,Q19,0)*-1,),ProposedLoans!$AA19))</f>
        <v/>
      </c>
      <c r="V19" s="543">
        <f>IF(I19="no",0,IF(E19&gt;0,IF(ProposedLoans!$M19&lt;&gt;0,IF(OR(D19="Operating-Ag",D19="operating-Direct Mkt")=TRUE,(1-X19)*CUMIPMT(((365/360)*E19)/O19,N19,F19,1,Q19,0)*-1,CUMIPMT(((365/360)*E19)/O19,N19,F19,1,Q19,0)*-1),0),0))</f>
        <v>0</v>
      </c>
      <c r="W19" s="543">
        <f>IF(I19="no",0,IF(OR(D19="Operating-Ag",D19="Operating-DM")=TRUE,0,IF(E19&gt;0,IF(ProposedLoans!$M19&lt;&gt;0,CUMIPMT(((365/360)*E19)/O19,N19+Q19,F19,Q19+1,Q19+Q19,0)*-1,),0))*X19)</f>
        <v>0</v>
      </c>
      <c r="X19" s="605">
        <f>IF(M19&gt;0,INDEX(Inputs!$J$26:$K$37,MATCH(Y19,Inputs!$J$26:$J$37,0),2)/12,0)</f>
        <v>0</v>
      </c>
      <c r="Y19" s="543" t="str">
        <f t="shared" si="5"/>
        <v/>
      </c>
      <c r="Z19" s="543">
        <f>IF(M19&lt;&gt;0,IF(M19="annual",INDEX(Inputs!$C$4:$E$15,MATCH(ProposedLoans!K19,Months,0),3),IF(M19="semi-annual",IF(Q19=2,CONCATENATE(INDEX(Inputs!$C$4:$E$15,MATCH(ProposedLoans!K19,Months,0),3),",",INDEX(Inputs!$C$4:$E$15,MATCH(MONTH(L19+190),Inputs!$D$4:$D$15,0),3)),INDEX(Inputs!$C$4:$E$15,MATCH(ProposedLoans!K19,Months,0),3)),IF(M19="Quarterly",IF(Q19=4,CONCATENATE(INDEX(Inputs!$C$4:$E$15,MATCH(ProposedLoans!K19,Months,0),3),",",INDEX(Inputs!$C$4:$E$15,MATCH(MONTH(L19+95),Inputs!$D$4:$D$15,0),3),",",INDEX(Inputs!$C$4:$E$15,MATCH(MONTH(L19+190),Inputs!$D$4:$D$15,0),3),",",INDEX(Inputs!$C$4:$E$15,MATCH(MONTH(L19+275),Inputs!$D$4:$D$15,0),3)),IF(Q19=3,CONCATENATE(INDEX(Inputs!$C$4:$E$15,MATCH(ProposedLoans!K19,Months,0),3),",",INDEX(Inputs!$C$4:$E$15,MATCH(MONTH(L19+95),Inputs!$D$4:$D$15,0),3),",",INDEX(Inputs!$C$4:$E$15,MATCH(MONTH(L19+190),Inputs!$D$4:$D$15,0),3)),IF(Q19=2,CONCATENATE(INDEX(Inputs!$C$4:$E$15,MATCH(ProposedLoans!K19,Months,0),3),",",INDEX(Inputs!$C$4:$E$15,MATCH(MONTH(L19+95),Inputs!$D$4:$D$15,0),3)),INDEX(Inputs!$C$4:$E$15,MATCH(ProposedLoans!K19,Months,0),3)))),INDEX(Inputs!$C$4:$F$15,MATCH(ProposedLoans!K19,Months,0),4)))),0)</f>
        <v>0</v>
      </c>
      <c r="AA19" s="435" t="str">
        <f>IF(ProposedLoans!$M19&gt;0,PMT(((365/360)*ProposedLoans!$E19)/ProposedLoans!$O19,ProposedLoans!$N19,ProposedLoans!$F19*-1)*ProposedLoans!$O19,"")</f>
        <v/>
      </c>
      <c r="AB19" s="436">
        <f>IF(I19="no",IF(ProposedLoans!$M19&gt;0,PPMT(((365/360)*ProposedLoans!$E19)/ProposedLoans!$O19,1,ProposedLoans!$N19,ProposedLoans!$F19*-1)*ProposedLoans!$O19,),IF(F19&gt;0,IF(ProposedLoans!$M19&lt;&gt;0,IF(R19=1,U19,IF(E19=0,R19*U19,U19)),ProposedLoans!$AA19),))</f>
        <v>0</v>
      </c>
      <c r="AC19" s="435" t="str">
        <f>IF(ProposedLoans!$M19&gt;0,ProposedLoans!$F19-ProposedLoans!$AB19,"")</f>
        <v/>
      </c>
      <c r="AF19" s="645"/>
      <c r="AG19" s="645" t="s">
        <v>407</v>
      </c>
      <c r="AH19" s="645" t="s">
        <v>408</v>
      </c>
      <c r="AI19" s="645" t="s">
        <v>416</v>
      </c>
      <c r="AJ19" s="645" t="s">
        <v>424</v>
      </c>
      <c r="AK19" s="644"/>
      <c r="AL19" s="644"/>
      <c r="AM19" s="644"/>
    </row>
    <row r="20" spans="2:39" ht="24.95" customHeight="1" x14ac:dyDescent="0.2">
      <c r="B20" s="431"/>
      <c r="C20" s="431"/>
      <c r="D20" s="431"/>
      <c r="E20" s="619"/>
      <c r="F20" s="432"/>
      <c r="G20" s="432"/>
      <c r="H20" s="433"/>
      <c r="I20" s="433"/>
      <c r="J20" s="433"/>
      <c r="K20" s="433"/>
      <c r="L20" s="434" t="str">
        <f>IF($H20&gt;0,DATE(H20,INDEX(Inputs!$C$4:$D$15,MATCH(K20,Months,0),2),1),"")</f>
        <v/>
      </c>
      <c r="M20" s="433"/>
      <c r="N20" s="541" t="str">
        <f>IF(ProposedLoans!$M20&gt;0,ProposedLoans!$J20*ProposedLoans!$O20,"")</f>
        <v/>
      </c>
      <c r="O20" s="541" t="str">
        <f t="shared" si="1"/>
        <v/>
      </c>
      <c r="P20" s="542" t="str">
        <f>IF(I20="no",0,IF(M20&gt;0,IF(M20="Annual",1,(YEARFRAC(L20,A14,))*12),""))</f>
        <v/>
      </c>
      <c r="Q20" s="542">
        <f t="shared" si="3"/>
        <v>1</v>
      </c>
      <c r="R20" s="541" t="str">
        <f t="shared" si="4"/>
        <v/>
      </c>
      <c r="S20" s="543" t="str">
        <f>IF(I20="No",0,IF(ProposedLoans!$M20&gt;0,IF(R20=1,U20/Q20,(U20/Q20)),""))</f>
        <v/>
      </c>
      <c r="T20" s="543" t="str">
        <f>IF(I20="no",0,IF(ProposedLoans!$M20&gt;0,IF(R20=1,V20/Q20,R20*(V20/Q20)),""))</f>
        <v/>
      </c>
      <c r="U20" s="543" t="str">
        <f>IF(I20="No",0,IF(E20&gt;0,IF(ProposedLoans!$M20&lt;&gt;0,CUMPRINC(((365/360)*E20)/O20,N20,F20,1,Q20,0)*-1,),ProposedLoans!$AA20))</f>
        <v/>
      </c>
      <c r="V20" s="543">
        <f>IF(I20="no",0,IF(E20&gt;0,IF(ProposedLoans!$M20&lt;&gt;0,IF(OR(D20="Operating-Ag",D20="operating-Direct Mkt")=TRUE,(1-X20)*CUMIPMT(((365/360)*E20)/O20,N20,F20,1,Q20,0)*-1,CUMIPMT(((365/360)*E20)/O20,N20,F20,1,Q20,0)*-1),0),0))</f>
        <v>0</v>
      </c>
      <c r="W20" s="543">
        <f>IF(I20="no",0,IF(OR(D20="Operating-Ag",D20="Operating-DM")=TRUE,0,IF(E20&gt;0,IF(ProposedLoans!$M20&lt;&gt;0,CUMIPMT(((365/360)*E20)/O20,N20+Q20,F20,Q20+1,Q20+Q20,0)*-1,),0))*X20)</f>
        <v>0</v>
      </c>
      <c r="X20" s="605">
        <f>IF(M20&gt;0,INDEX(Inputs!$J$26:$K$37,MATCH(Y20,Inputs!$J$26:$J$37,0),2)/12,0)</f>
        <v>0</v>
      </c>
      <c r="Y20" s="543" t="str">
        <f t="shared" si="5"/>
        <v/>
      </c>
      <c r="Z20" s="543">
        <f>IF(M20&lt;&gt;0,IF(M20="annual",INDEX(Inputs!$C$4:$E$15,MATCH(ProposedLoans!K20,Months,0),3),IF(M20="semi-annual",IF(Q20=2,CONCATENATE(INDEX(Inputs!$C$4:$E$15,MATCH(ProposedLoans!K20,Months,0),3),",",INDEX(Inputs!$C$4:$E$15,MATCH(MONTH(L20+190),Inputs!$D$4:$D$15,0),3)),INDEX(Inputs!$C$4:$E$15,MATCH(ProposedLoans!K20,Months,0),3)),IF(M20="Quarterly",IF(Q20=4,CONCATENATE(INDEX(Inputs!$C$4:$E$15,MATCH(ProposedLoans!K20,Months,0),3),",",INDEX(Inputs!$C$4:$E$15,MATCH(MONTH(L20+95),Inputs!$D$4:$D$15,0),3),",",INDEX(Inputs!$C$4:$E$15,MATCH(MONTH(L20+190),Inputs!$D$4:$D$15,0),3),",",INDEX(Inputs!$C$4:$E$15,MATCH(MONTH(L20+275),Inputs!$D$4:$D$15,0),3)),IF(Q20=3,CONCATENATE(INDEX(Inputs!$C$4:$E$15,MATCH(ProposedLoans!K20,Months,0),3),",",INDEX(Inputs!$C$4:$E$15,MATCH(MONTH(L20+95),Inputs!$D$4:$D$15,0),3),",",INDEX(Inputs!$C$4:$E$15,MATCH(MONTH(L20+190),Inputs!$D$4:$D$15,0),3)),IF(Q20=2,CONCATENATE(INDEX(Inputs!$C$4:$E$15,MATCH(ProposedLoans!K20,Months,0),3),",",INDEX(Inputs!$C$4:$E$15,MATCH(MONTH(L20+95),Inputs!$D$4:$D$15,0),3)),INDEX(Inputs!$C$4:$E$15,MATCH(ProposedLoans!K20,Months,0),3)))),INDEX(Inputs!$C$4:$F$15,MATCH(ProposedLoans!K20,Months,0),4)))),0)</f>
        <v>0</v>
      </c>
      <c r="AA20" s="435" t="str">
        <f>IF(ProposedLoans!$M20&gt;0,PMT(((365/360)*ProposedLoans!$E20)/ProposedLoans!$O20,ProposedLoans!$N20,ProposedLoans!$F20*-1)*ProposedLoans!$O20,"")</f>
        <v/>
      </c>
      <c r="AB20" s="436">
        <f>IF(I20="no",IF(ProposedLoans!$M20&gt;0,PPMT(((365/360)*ProposedLoans!$E20)/ProposedLoans!$O20,1,ProposedLoans!$N20,ProposedLoans!$F20*-1)*ProposedLoans!$O20,),IF(F20&gt;0,IF(ProposedLoans!$M20&lt;&gt;0,IF(R20=1,U20,IF(E20=0,R20*U20,U20)),ProposedLoans!$AA20),))</f>
        <v>0</v>
      </c>
      <c r="AC20" s="435" t="str">
        <f>IF(ProposedLoans!$M20&gt;0,ProposedLoans!$F20-ProposedLoans!$AB20,"")</f>
        <v/>
      </c>
      <c r="AF20" s="645" t="s">
        <v>406</v>
      </c>
      <c r="AG20" s="646">
        <f>SUMIF($AF$6:$AF$15,$AF20,AG$6:AG$15)-MCFPrinOpTot</f>
        <v>0</v>
      </c>
      <c r="AH20" s="646">
        <f>SUMIF($AF$6:$AF$15,$AF20,AH$6:AH$15)</f>
        <v>0</v>
      </c>
      <c r="AI20" s="645">
        <f t="shared" ref="AI20:AI26" si="9">SUMIF($D$6:$D$21,AF20,$AA$6:$AA$21)</f>
        <v>0</v>
      </c>
      <c r="AJ20" s="645">
        <f t="shared" ref="AJ20:AJ25" si="10">SUMIF($D$6:$D$21,AF20,$W$6:$W$21)</f>
        <v>0</v>
      </c>
      <c r="AK20" s="644"/>
      <c r="AL20" s="644"/>
      <c r="AM20" s="644"/>
    </row>
    <row r="21" spans="2:39" ht="24.95" customHeight="1" x14ac:dyDescent="0.2">
      <c r="B21" s="437"/>
      <c r="C21" s="437"/>
      <c r="D21" s="437"/>
      <c r="E21" s="620"/>
      <c r="F21" s="438"/>
      <c r="G21" s="438"/>
      <c r="H21" s="439"/>
      <c r="I21" s="439"/>
      <c r="J21" s="439"/>
      <c r="K21" s="439"/>
      <c r="L21" s="434" t="str">
        <f>IF($H21&gt;0,DATE(H21,INDEX(Inputs!$C$4:$D$15,MATCH(K21,Months,0),2),1),"")</f>
        <v/>
      </c>
      <c r="M21" s="439"/>
      <c r="N21" s="541" t="str">
        <f>IF(ProposedLoans!$M21&gt;0,ProposedLoans!$J21*ProposedLoans!$O21,"")</f>
        <v/>
      </c>
      <c r="O21" s="541" t="str">
        <f t="shared" si="1"/>
        <v/>
      </c>
      <c r="P21" s="542" t="str">
        <f>IF(I21="no",0,IF(M21&gt;0,IF(M21="Annual",1,(YEARFRAC(L21,A15,))*12),""))</f>
        <v/>
      </c>
      <c r="Q21" s="542">
        <f t="shared" si="3"/>
        <v>1</v>
      </c>
      <c r="R21" s="541" t="str">
        <f t="shared" si="4"/>
        <v/>
      </c>
      <c r="S21" s="543" t="str">
        <f>IF(I21="No",0,IF(ProposedLoans!$M21&gt;0,IF(R21=1,U21/Q21,(U21/Q21)),""))</f>
        <v/>
      </c>
      <c r="T21" s="543" t="str">
        <f>IF(I21="no",0,IF(ProposedLoans!$M21&gt;0,IF(R21=1,V21/Q21,R21*(V21/Q21)),""))</f>
        <v/>
      </c>
      <c r="U21" s="543" t="str">
        <f>IF(I21="No",0,IF(E21&gt;0,IF(ProposedLoans!$M21&lt;&gt;0,CUMPRINC(((365/360)*E21)/O21,N21,F21,1,Q21,0)*-1,),ProposedLoans!$AA21))</f>
        <v/>
      </c>
      <c r="V21" s="543">
        <f>IF(I21="no",0,IF(E21&gt;0,IF(ProposedLoans!$M21&lt;&gt;0,IF(OR(D21="Operating-Ag",D21="operating-Direct Mkt")=TRUE,(1-X21)*CUMIPMT(((365/360)*E21)/O21,N21,F21,1,Q21,0)*-1,CUMIPMT(((365/360)*E21)/O21,N21,F21,1,Q21,0)*-1),0),0))</f>
        <v>0</v>
      </c>
      <c r="W21" s="543">
        <f>IF(I21="no",0,IF(OR(D21="Operating-Ag",D21="Operating-DM")=TRUE,0,IF(E21&gt;0,IF(ProposedLoans!$M21&lt;&gt;0,CUMIPMT(((365/360)*E21)/O21,N21+Q21,F21,Q21+1,Q21+Q21,0)*-1,),0))*X21)</f>
        <v>0</v>
      </c>
      <c r="X21" s="605">
        <f>IF(M21&gt;0,INDEX(Inputs!$J$26:$K$37,MATCH(Y21,Inputs!$J$26:$J$37,0),2)/12,0)</f>
        <v>0</v>
      </c>
      <c r="Y21" s="543" t="str">
        <f t="shared" si="5"/>
        <v/>
      </c>
      <c r="Z21" s="543">
        <f>IF(M21&lt;&gt;0,IF(M21="annual",INDEX(Inputs!$C$4:$E$15,MATCH(ProposedLoans!K21,Months,0),3),IF(M21="semi-annual",IF(Q21=2,CONCATENATE(INDEX(Inputs!$C$4:$E$15,MATCH(ProposedLoans!K21,Months,0),3),",",INDEX(Inputs!$C$4:$E$15,MATCH(MONTH(L21+190),Inputs!$D$4:$D$15,0),3)),INDEX(Inputs!$C$4:$E$15,MATCH(ProposedLoans!K21,Months,0),3)),IF(M21="Quarterly",IF(Q21=4,CONCATENATE(INDEX(Inputs!$C$4:$E$15,MATCH(ProposedLoans!K21,Months,0),3),",",INDEX(Inputs!$C$4:$E$15,MATCH(MONTH(L21+95),Inputs!$D$4:$D$15,0),3),",",INDEX(Inputs!$C$4:$E$15,MATCH(MONTH(L21+190),Inputs!$D$4:$D$15,0),3),",",INDEX(Inputs!$C$4:$E$15,MATCH(MONTH(L21+275),Inputs!$D$4:$D$15,0),3)),IF(Q21=3,CONCATENATE(INDEX(Inputs!$C$4:$E$15,MATCH(ProposedLoans!K21,Months,0),3),",",INDEX(Inputs!$C$4:$E$15,MATCH(MONTH(L21+95),Inputs!$D$4:$D$15,0),3),",",INDEX(Inputs!$C$4:$E$15,MATCH(MONTH(L21+190),Inputs!$D$4:$D$15,0),3)),IF(Q21=2,CONCATENATE(INDEX(Inputs!$C$4:$E$15,MATCH(ProposedLoans!K21,Months,0),3),",",INDEX(Inputs!$C$4:$E$15,MATCH(MONTH(L21+95),Inputs!$D$4:$D$15,0),3)),INDEX(Inputs!$C$4:$E$15,MATCH(ProposedLoans!K21,Months,0),3)))),INDEX(Inputs!$C$4:$F$15,MATCH(ProposedLoans!K21,Months,0),4)))),0)</f>
        <v>0</v>
      </c>
      <c r="AA21" s="435" t="str">
        <f>IF(ProposedLoans!$M21&gt;0,PMT(((365/360)*ProposedLoans!$E21)/ProposedLoans!$O21,ProposedLoans!$N21,ProposedLoans!$F21*-1)*ProposedLoans!$O21,"")</f>
        <v/>
      </c>
      <c r="AB21" s="436">
        <f>IF(I21="no",IF(ProposedLoans!$M21&gt;0,PPMT(((365/360)*ProposedLoans!$E21)/ProposedLoans!$O21,1,ProposedLoans!$N21,ProposedLoans!$F21*-1)*ProposedLoans!$O21,),IF(F21&gt;0,IF(ProposedLoans!$M21&lt;&gt;0,IF(R21=1,U21,IF(E21=0,R21*U21,U21)),ProposedLoans!$AA21),))</f>
        <v>0</v>
      </c>
      <c r="AC21" s="435" t="str">
        <f>IF(ProposedLoans!$M21&gt;0,ProposedLoans!$F21-ProposedLoans!$AB21,"")</f>
        <v/>
      </c>
      <c r="AF21" s="645" t="s">
        <v>405</v>
      </c>
      <c r="AG21" s="646">
        <f t="shared" ref="AG21:AH25" si="11">SUMIF($AF$6:$AF$15,$AF21,AG$6:AG$15)</f>
        <v>0</v>
      </c>
      <c r="AH21" s="646">
        <f t="shared" si="11"/>
        <v>0</v>
      </c>
      <c r="AI21" s="645">
        <f t="shared" si="9"/>
        <v>0</v>
      </c>
      <c r="AJ21" s="645">
        <f t="shared" si="10"/>
        <v>0</v>
      </c>
      <c r="AK21" s="644"/>
      <c r="AL21" s="644"/>
      <c r="AM21" s="644"/>
    </row>
    <row r="22" spans="2:39" x14ac:dyDescent="0.2">
      <c r="B22" s="1267" t="str">
        <f>CONCATENATE("Sub-Total ",B4)</f>
        <v>Sub-Total Proposed Loans</v>
      </c>
      <c r="C22" s="1267"/>
      <c r="D22" s="1267"/>
      <c r="E22" s="1267"/>
      <c r="F22" s="1267"/>
      <c r="G22" s="1267"/>
      <c r="H22" s="1267"/>
      <c r="I22" s="1267"/>
      <c r="J22" s="1267"/>
      <c r="K22" s="1267"/>
      <c r="L22" s="1267"/>
      <c r="M22" s="1267"/>
      <c r="N22" s="1267"/>
      <c r="O22" s="1267"/>
      <c r="P22" s="1267"/>
      <c r="Q22" s="1267"/>
      <c r="R22" s="1267"/>
      <c r="S22" s="1267"/>
      <c r="T22" s="1267"/>
      <c r="U22" s="1267"/>
      <c r="V22" s="1267"/>
      <c r="W22" s="1267"/>
      <c r="X22" s="1267"/>
      <c r="Y22" s="1267"/>
      <c r="Z22" s="1267"/>
      <c r="AA22" s="1267"/>
      <c r="AB22" s="260">
        <f>SUM(AB6:AB21)</f>
        <v>0</v>
      </c>
      <c r="AC22" s="260">
        <f>SUM(AC6:AC21)</f>
        <v>0</v>
      </c>
      <c r="AF22" s="645" t="s">
        <v>173</v>
      </c>
      <c r="AG22" s="646">
        <f t="shared" si="11"/>
        <v>0</v>
      </c>
      <c r="AH22" s="646">
        <f t="shared" si="11"/>
        <v>0</v>
      </c>
      <c r="AI22" s="645">
        <f t="shared" si="9"/>
        <v>0</v>
      </c>
      <c r="AJ22" s="645">
        <f t="shared" si="10"/>
        <v>0</v>
      </c>
      <c r="AK22" s="644"/>
      <c r="AL22" s="644"/>
      <c r="AM22" s="644"/>
    </row>
    <row r="23" spans="2:39" x14ac:dyDescent="0.2">
      <c r="AF23" s="645" t="s">
        <v>211</v>
      </c>
      <c r="AG23" s="646">
        <f t="shared" si="11"/>
        <v>0</v>
      </c>
      <c r="AH23" s="646">
        <f t="shared" si="11"/>
        <v>0</v>
      </c>
      <c r="AI23" s="645">
        <f t="shared" si="9"/>
        <v>0</v>
      </c>
      <c r="AJ23" s="645">
        <f t="shared" si="10"/>
        <v>0</v>
      </c>
      <c r="AK23" s="644"/>
      <c r="AL23" s="644"/>
      <c r="AM23" s="644"/>
    </row>
    <row r="24" spans="2:39" x14ac:dyDescent="0.2">
      <c r="AF24" s="645" t="s">
        <v>174</v>
      </c>
      <c r="AG24" s="646">
        <f t="shared" si="11"/>
        <v>0</v>
      </c>
      <c r="AH24" s="646">
        <f t="shared" si="11"/>
        <v>0</v>
      </c>
      <c r="AI24" s="645">
        <f t="shared" si="9"/>
        <v>0</v>
      </c>
      <c r="AJ24" s="645">
        <f t="shared" si="10"/>
        <v>0</v>
      </c>
      <c r="AK24" s="644"/>
      <c r="AL24" s="644"/>
      <c r="AM24" s="644"/>
    </row>
    <row r="25" spans="2:39" x14ac:dyDescent="0.2">
      <c r="AF25" s="645" t="s">
        <v>229</v>
      </c>
      <c r="AG25" s="646">
        <f t="shared" si="11"/>
        <v>0</v>
      </c>
      <c r="AH25" s="646">
        <f t="shared" si="11"/>
        <v>0</v>
      </c>
      <c r="AI25" s="645">
        <f t="shared" si="9"/>
        <v>0</v>
      </c>
      <c r="AJ25" s="645">
        <f t="shared" si="10"/>
        <v>0</v>
      </c>
      <c r="AK25" s="644"/>
      <c r="AL25" s="644"/>
      <c r="AM25" s="644"/>
    </row>
    <row r="26" spans="2:39" x14ac:dyDescent="0.2">
      <c r="AF26" s="645"/>
      <c r="AG26" s="647">
        <f>SUM(AG20:AG25)</f>
        <v>0</v>
      </c>
      <c r="AH26" s="647">
        <f>SUM(AH20:AH25)</f>
        <v>0</v>
      </c>
      <c r="AI26" s="645">
        <f t="shared" si="9"/>
        <v>0</v>
      </c>
      <c r="AJ26" s="645"/>
      <c r="AK26" s="644"/>
      <c r="AL26" s="644"/>
      <c r="AM26" s="644"/>
    </row>
    <row r="27" spans="2:39" x14ac:dyDescent="0.2">
      <c r="AF27" s="645"/>
      <c r="AG27" s="645"/>
      <c r="AH27" s="645"/>
      <c r="AI27" s="645"/>
      <c r="AJ27" s="645"/>
      <c r="AK27" s="644"/>
      <c r="AL27" s="644"/>
      <c r="AM27" s="644"/>
    </row>
    <row r="28" spans="2:39" x14ac:dyDescent="0.2">
      <c r="AH28" s="644"/>
      <c r="AI28" s="644"/>
      <c r="AJ28" s="644"/>
      <c r="AK28" s="644"/>
      <c r="AL28" s="644"/>
      <c r="AM28" s="644"/>
    </row>
    <row r="29" spans="2:39" x14ac:dyDescent="0.2">
      <c r="AH29" s="644"/>
      <c r="AI29" s="644"/>
      <c r="AJ29" s="644"/>
      <c r="AK29" s="644"/>
      <c r="AL29" s="644"/>
      <c r="AM29" s="644"/>
    </row>
    <row r="30" spans="2:39" x14ac:dyDescent="0.2">
      <c r="AH30" s="644"/>
      <c r="AI30" s="644"/>
      <c r="AJ30" s="644"/>
      <c r="AK30" s="644"/>
      <c r="AL30" s="644"/>
      <c r="AM30" s="644"/>
    </row>
    <row r="31" spans="2:39" x14ac:dyDescent="0.2">
      <c r="AD31" s="1127"/>
      <c r="AE31" s="1127"/>
      <c r="AF31" s="1128"/>
      <c r="AG31" s="1128"/>
      <c r="AH31" s="1128"/>
      <c r="AI31" s="1128"/>
      <c r="AJ31" s="1128"/>
      <c r="AK31" s="1128"/>
      <c r="AL31" s="1128"/>
      <c r="AM31" s="1128"/>
    </row>
    <row r="32" spans="2:39" x14ac:dyDescent="0.2">
      <c r="AD32" s="1127"/>
      <c r="AE32" s="1127"/>
      <c r="AF32" s="1128"/>
      <c r="AG32" s="1128"/>
      <c r="AH32" s="1128"/>
      <c r="AI32" s="1128"/>
      <c r="AJ32" s="1128"/>
      <c r="AK32" s="1128"/>
      <c r="AL32" s="1128"/>
      <c r="AM32" s="1128"/>
    </row>
  </sheetData>
  <sheetProtection algorithmName="SHA-512" hashValue="t+cYwmEs1k5oMKiuuFzXW8vL3BixHfYhGeFzyFKcfWm6B+lM2rZLQTCB5R56R7RLvNfBt9en4oxGbP41r3APEg==" saltValue="WsQkDcRJ739nPwJaUyMARg==" spinCount="100000" sheet="1" objects="1" scenarios="1"/>
  <mergeCells count="5">
    <mergeCell ref="B22:AA22"/>
    <mergeCell ref="AA1:AA2"/>
    <mergeCell ref="AB1:AB2"/>
    <mergeCell ref="B4:AC4"/>
    <mergeCell ref="B1:B2"/>
  </mergeCells>
  <dataValidations count="4">
    <dataValidation type="list" allowBlank="1" showInputMessage="1" showErrorMessage="1" sqref="D6:D21" xr:uid="{00000000-0002-0000-0C00-000000000000}">
      <formula1>"Ag Business,Direct Mkt,Personal,Personal-RE"</formula1>
    </dataValidation>
    <dataValidation type="list" allowBlank="1" showInputMessage="1" showErrorMessage="1" sqref="G6:G21 K6:K21" xr:uid="{00000000-0002-0000-0C00-000001000000}">
      <formula1>Months</formula1>
    </dataValidation>
    <dataValidation type="list" allowBlank="1" showInputMessage="1" showErrorMessage="1" error="Please choose how often a payment is made" sqref="M6:M21" xr:uid="{00000000-0002-0000-0C00-000002000000}">
      <formula1>LoanFreq</formula1>
    </dataValidation>
    <dataValidation type="list" allowBlank="1" showInputMessage="1" showErrorMessage="1" sqref="I6:I21" xr:uid="{00000000-0002-0000-0C00-000003000000}">
      <formula1>"Yes,No"</formula1>
    </dataValidation>
  </dataValidations>
  <pageMargins left="0.25" right="0.25" top="0.75" bottom="0.75" header="0.3" footer="0.3"/>
  <pageSetup orientation="landscape"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434953"/>
  </sheetPr>
  <dimension ref="B1:S95"/>
  <sheetViews>
    <sheetView workbookViewId="0">
      <selection activeCell="D14" sqref="D14"/>
    </sheetView>
  </sheetViews>
  <sheetFormatPr defaultRowHeight="12.75" x14ac:dyDescent="0.2"/>
  <cols>
    <col min="2" max="2" width="11" customWidth="1"/>
    <col min="3" max="3" width="22.140625" bestFit="1" customWidth="1"/>
    <col min="9" max="9" width="9.5703125" customWidth="1"/>
    <col min="10" max="10" width="14.85546875" customWidth="1"/>
    <col min="11" max="11" width="11.5703125" customWidth="1"/>
    <col min="12" max="13" width="10.28515625" customWidth="1"/>
    <col min="14" max="14" width="6.5703125" customWidth="1"/>
    <col min="16" max="16" width="9.5703125" customWidth="1"/>
    <col min="17" max="17" width="14.85546875" customWidth="1"/>
    <col min="18" max="18" width="11.5703125" customWidth="1"/>
    <col min="19" max="19" width="10.28515625" customWidth="1"/>
  </cols>
  <sheetData>
    <row r="1" spans="2:19" x14ac:dyDescent="0.2">
      <c r="H1" s="57" t="s">
        <v>202</v>
      </c>
    </row>
    <row r="2" spans="2:19" ht="13.5" thickBot="1" x14ac:dyDescent="0.25">
      <c r="B2" s="747" t="s">
        <v>125</v>
      </c>
      <c r="C2" s="748" t="s">
        <v>405</v>
      </c>
      <c r="D2" s="748" t="s">
        <v>175</v>
      </c>
      <c r="E2" s="748" t="s">
        <v>176</v>
      </c>
      <c r="F2" s="748" t="s">
        <v>209</v>
      </c>
      <c r="H2" s="747" t="s">
        <v>196</v>
      </c>
      <c r="I2" s="748" t="s">
        <v>104</v>
      </c>
      <c r="J2" s="748" t="s">
        <v>102</v>
      </c>
      <c r="K2" s="748" t="s">
        <v>100</v>
      </c>
      <c r="L2" s="748" t="s">
        <v>99</v>
      </c>
      <c r="M2" s="748" t="s">
        <v>209</v>
      </c>
      <c r="N2" s="57"/>
      <c r="O2" s="747" t="s">
        <v>196</v>
      </c>
      <c r="P2" s="768" t="s">
        <v>104</v>
      </c>
      <c r="Q2" s="768" t="s">
        <v>102</v>
      </c>
      <c r="R2" s="768" t="s">
        <v>100</v>
      </c>
      <c r="S2" s="768" t="s">
        <v>99</v>
      </c>
    </row>
    <row r="3" spans="2:19" ht="13.5" thickTop="1" x14ac:dyDescent="0.2">
      <c r="B3" s="749" t="s">
        <v>182</v>
      </c>
      <c r="C3" s="750" t="s">
        <v>4</v>
      </c>
      <c r="D3" s="751">
        <f>SUM(ProposedLoansWkst!$I3:$L3)</f>
        <v>0</v>
      </c>
      <c r="E3" s="752">
        <f>SUM(ProposedLoansWkst!$P3:$S3)</f>
        <v>0</v>
      </c>
      <c r="F3" s="752">
        <f>SUM(ProposedLoansWkst!$M3)</f>
        <v>0</v>
      </c>
      <c r="H3" s="765" t="s">
        <v>4</v>
      </c>
      <c r="I3" s="751">
        <f>SUMIFS(ProposedLoans!$S$6:$S$21,ProposedLoans!$D$6:$D$21,$C$2,ProposedLoans!$Z$6:$Z$21,$C3,ProposedLoans!$M$6:$M$21,ProposedLoansWkst!I$2)</f>
        <v>0</v>
      </c>
      <c r="J3" s="752">
        <f>SUMIFS(ProposedLoans!$S$6:$S$21,ProposedLoans!$D$6:$D$21,$C$2,ProposedLoans!$Z$6:$Z$21,"*Jan*",ProposedLoans!$M$6:$M$21,ProposedLoansWkst!J$2)</f>
        <v>0</v>
      </c>
      <c r="K3" s="752">
        <f>SUMIFS(ProposedLoans!$S$6:$S$21,ProposedLoans!$D$6:$D$21,$C$2,ProposedLoans!$Z$6:$Z$21,"*Jan*",ProposedLoans!$M$6:$M$21,ProposedLoansWkst!K$2)</f>
        <v>0</v>
      </c>
      <c r="L3" s="752">
        <f>SUMIFS(ProposedLoans!$S$6:$S$21,ProposedLoans!$D$6:$D$21,$C$2,ProposedLoans!$Z$6:$Z$21,"*Jan*",ProposedLoans!$M$6:$M$21,ProposedLoansWkst!L$2)</f>
        <v>0</v>
      </c>
      <c r="M3" s="752">
        <f>SUMIFS(ProposedLoans!$F$6:$F$21,ProposedLoans!$D$6:$D$21,$C$2,ProposedLoans!$G$6:$G$21,"*Jan*")</f>
        <v>0</v>
      </c>
      <c r="O3" s="765" t="s">
        <v>4</v>
      </c>
      <c r="P3" s="752">
        <f>SUMIFS(ProposedLoans!$T$6:$T$21,ProposedLoans!$D$6:$D$21,$C$2,ProposedLoans!$Z$6:$Z$21,$C3,ProposedLoans!$M$6:$M$21,ProposedLoansWkst!I$2)</f>
        <v>0</v>
      </c>
      <c r="Q3" s="752">
        <f>SUMIFS(ProposedLoans!$T$6:$T$21,ProposedLoans!$D$6:$D$21,$C$2,ProposedLoans!$Z$6:$Z$21,"*Jan*",ProposedLoans!$M$6:$M$21,ProposedLoansWkst!Q$2)</f>
        <v>0</v>
      </c>
      <c r="R3" s="752">
        <f>SUMIFS(ProposedLoans!$T$6:$T$21,ProposedLoans!$D$6:$D$21,$C$2,ProposedLoans!$Z$6:$Z$21,"*Jan*",ProposedLoans!$M$6:$M$21,ProposedLoansWkst!R$2)</f>
        <v>0</v>
      </c>
      <c r="S3" s="752">
        <f>SUMIFS(ProposedLoans!$T$6:$T$21,ProposedLoans!$D$6:$D$21,$C$2,ProposedLoans!$Z$6:$Z$21,"*Jan*",ProposedLoans!$M$6:$M$21,ProposedLoansWkst!S$2)</f>
        <v>0</v>
      </c>
    </row>
    <row r="4" spans="2:19" x14ac:dyDescent="0.2">
      <c r="B4" s="753" t="s">
        <v>183</v>
      </c>
      <c r="C4" s="754" t="s">
        <v>5</v>
      </c>
      <c r="D4" s="755">
        <f>SUM(ProposedLoansWkst!$I4:$L4)</f>
        <v>0</v>
      </c>
      <c r="E4" s="756">
        <f>SUM(ProposedLoansWkst!$P4:$S4)</f>
        <v>0</v>
      </c>
      <c r="F4" s="756">
        <f>SUM(ProposedLoansWkst!$M4)</f>
        <v>0</v>
      </c>
      <c r="H4" s="766" t="s">
        <v>5</v>
      </c>
      <c r="I4" s="755">
        <f>SUMIFS(ProposedLoans!$S$6:$S$21,ProposedLoans!$D$6:$D$21,$C$2,ProposedLoans!$Z$6:$Z$21,$C4,ProposedLoans!$M$6:$M$21,ProposedLoansWkst!I$2)</f>
        <v>0</v>
      </c>
      <c r="J4" s="756">
        <f>SUMIFS(ProposedLoans!$S$6:$S$21,ProposedLoans!$D$6:$D$21,$C$2,ProposedLoans!$Z$6:$Z$21,"*Feb*",ProposedLoans!$M$6:$M$21,ProposedLoansWkst!J$2)</f>
        <v>0</v>
      </c>
      <c r="K4" s="756">
        <f>SUMIFS(ProposedLoans!$S$6:$S$21,ProposedLoans!$D$6:$D$21,$C$2,ProposedLoans!$Z$6:$Z$21,"*Feb*",ProposedLoans!$M$6:$M$21,ProposedLoansWkst!K$2)</f>
        <v>0</v>
      </c>
      <c r="L4" s="756">
        <f>SUMIFS(ProposedLoans!$S$6:$S$21,ProposedLoans!$D$6:$D$21,$C$2,ProposedLoans!$Z$6:$Z$21,"*Feb*",ProposedLoans!$M$6:$M$21,ProposedLoansWkst!L$2)</f>
        <v>0</v>
      </c>
      <c r="M4" s="756">
        <f>SUMIFS(ProposedLoans!$F$6:$F$21,ProposedLoans!$D$6:$D$21,$C$2,ProposedLoans!$G$6:$G$21,"*Feb*")</f>
        <v>0</v>
      </c>
      <c r="O4" s="766" t="s">
        <v>5</v>
      </c>
      <c r="P4" s="756">
        <f>SUMIFS(ProposedLoans!$T$6:$T$21,ProposedLoans!$D$6:$D$21,$C$2,ProposedLoans!$Z$6:$Z$21,$C4,ProposedLoans!$M$6:$M$21,ProposedLoansWkst!I$2)</f>
        <v>0</v>
      </c>
      <c r="Q4" s="756">
        <f>SUMIFS(ProposedLoans!$T$6:$T$21,ProposedLoans!$D$6:$D$21,$C$2,ProposedLoans!$Z$6:$Z$21,"*Feb*",ProposedLoans!$M$6:$M$21,ProposedLoansWkst!Q$2)</f>
        <v>0</v>
      </c>
      <c r="R4" s="756">
        <f>SUMIFS(ProposedLoans!$T$6:$T$21,ProposedLoans!$D$6:$D$21,$C$2,ProposedLoans!$Z$6:$Z$21,"*Feb*",ProposedLoans!$M$6:$M$21,ProposedLoansWkst!R$2)</f>
        <v>0</v>
      </c>
      <c r="S4" s="756">
        <f>SUMIFS(ProposedLoans!$T$6:$T$21,ProposedLoans!$D$6:$D$21,$C$2,ProposedLoans!$Z$6:$Z$21,"*Feb*",ProposedLoans!$M$6:$M$21,ProposedLoansWkst!S$2)</f>
        <v>0</v>
      </c>
    </row>
    <row r="5" spans="2:19" x14ac:dyDescent="0.2">
      <c r="B5" s="757" t="s">
        <v>184</v>
      </c>
      <c r="C5" s="758" t="s">
        <v>6</v>
      </c>
      <c r="D5" s="759">
        <f>SUM(ProposedLoansWkst!$I5:$L5)</f>
        <v>0</v>
      </c>
      <c r="E5" s="760">
        <f>SUM(ProposedLoansWkst!$P5:$S5)</f>
        <v>0</v>
      </c>
      <c r="F5" s="760">
        <f>SUM(ProposedLoansWkst!$M5)</f>
        <v>0</v>
      </c>
      <c r="H5" s="757" t="s">
        <v>6</v>
      </c>
      <c r="I5" s="759">
        <f>SUMIFS(ProposedLoans!$S$6:$S$21,ProposedLoans!$D$6:$D$21,$C$2,ProposedLoans!$Z$6:$Z$21,$C5,ProposedLoans!$M$6:$M$21,ProposedLoansWkst!I$2)</f>
        <v>0</v>
      </c>
      <c r="J5" s="760">
        <f>SUMIFS(ProposedLoans!$S$6:$S$21,ProposedLoans!$D$6:$D$21,$C$2,ProposedLoans!$Z$6:$Z$21,"*Mar*",ProposedLoans!$M$6:$M$21,ProposedLoansWkst!J$2)</f>
        <v>0</v>
      </c>
      <c r="K5" s="760">
        <f>SUMIFS(ProposedLoans!$S$6:$S$21,ProposedLoans!$D$6:$D$21,$C$2,ProposedLoans!$Z$6:$Z$21,"*Mar*",ProposedLoans!$M$6:$M$21,ProposedLoansWkst!K$2)</f>
        <v>0</v>
      </c>
      <c r="L5" s="760">
        <f>SUMIFS(ProposedLoans!$S$6:$S$21,ProposedLoans!$D$6:$D$21,$C$2,ProposedLoans!$Z$6:$Z$21,"*Mar*",ProposedLoans!$M$6:$M$21,ProposedLoansWkst!L$2)</f>
        <v>0</v>
      </c>
      <c r="M5" s="760">
        <f>SUMIFS(ProposedLoans!$F$6:$F$21,ProposedLoans!$D$6:$D$21,$C$2,ProposedLoans!$G$6:$G$21,"*Mar*")</f>
        <v>0</v>
      </c>
      <c r="O5" s="757" t="s">
        <v>6</v>
      </c>
      <c r="P5" s="760">
        <f>SUMIFS(ProposedLoans!$T$6:$T$21,ProposedLoans!$D$6:$D$21,$C$2,ProposedLoans!$Z$6:$Z$21,$C5,ProposedLoans!$M$6:$M$21,ProposedLoansWkst!I$2)</f>
        <v>0</v>
      </c>
      <c r="Q5" s="760">
        <f>SUMIFS(ProposedLoans!$T$6:$T$21,ProposedLoans!$D$6:$D$21,$C$2,ProposedLoans!$Z$6:$Z$21,"*Mar*",ProposedLoans!$M$6:$M$21,ProposedLoansWkst!Q$2)</f>
        <v>0</v>
      </c>
      <c r="R5" s="760">
        <f>SUMIFS(ProposedLoans!$T$6:$T$21,ProposedLoans!$D$6:$D$21,$C$2,ProposedLoans!$Z$6:$Z$21,"*Mar*",ProposedLoans!$M$6:$M$21,ProposedLoansWkst!R$2)</f>
        <v>0</v>
      </c>
      <c r="S5" s="760">
        <f>SUMIFS(ProposedLoans!$T$6:$T$21,ProposedLoans!$D$6:$D$21,$C$2,ProposedLoans!$Z$6:$Z$21,"*Mar*",ProposedLoans!$M$6:$M$21,ProposedLoansWkst!S$2)</f>
        <v>0</v>
      </c>
    </row>
    <row r="6" spans="2:19" x14ac:dyDescent="0.2">
      <c r="B6" s="753" t="s">
        <v>185</v>
      </c>
      <c r="C6" s="761" t="s">
        <v>7</v>
      </c>
      <c r="D6" s="755">
        <f>SUM(ProposedLoansWkst!$I6:$L6)</f>
        <v>0</v>
      </c>
      <c r="E6" s="756">
        <f>SUM(ProposedLoansWkst!$P6:$S6)</f>
        <v>0</v>
      </c>
      <c r="F6" s="756">
        <f>SUM(ProposedLoansWkst!$M6)</f>
        <v>0</v>
      </c>
      <c r="H6" s="753" t="s">
        <v>7</v>
      </c>
      <c r="I6" s="755">
        <f>SUMIFS(ProposedLoans!$S$6:$S$21,ProposedLoans!$D$6:$D$21,$C$2,ProposedLoans!$Z$6:$Z$21,$C6,ProposedLoans!$M$6:$M$21,ProposedLoansWkst!I$2)</f>
        <v>0</v>
      </c>
      <c r="J6" s="756">
        <f>SUMIFS(ProposedLoans!$S$6:$S$21,ProposedLoans!$D$6:$D$21,$C$2,ProposedLoans!$Z$6:$Z$21,"*Apr*",ProposedLoans!$M$6:$M$21,ProposedLoansWkst!J$2)</f>
        <v>0</v>
      </c>
      <c r="K6" s="756">
        <f>SUMIFS(ProposedLoans!$S$6:$S$21,ProposedLoans!$D$6:$D$21,$C$2,ProposedLoans!$Z$6:$Z$21,"*Apr*",ProposedLoans!$M$6:$M$21,ProposedLoansWkst!K$2)</f>
        <v>0</v>
      </c>
      <c r="L6" s="756">
        <f>SUMIFS(ProposedLoans!$S$6:$S$21,ProposedLoans!$D$6:$D$21,$C$2,ProposedLoans!$Z$6:$Z$21,"*Apr*",ProposedLoans!$M$6:$M$21,ProposedLoansWkst!L$2)</f>
        <v>0</v>
      </c>
      <c r="M6" s="756">
        <f>SUMIFS(ProposedLoans!$F$6:$F$21,ProposedLoans!$D$6:$D$21,$C$2,ProposedLoans!$G$6:$G$21,"*Apr*")</f>
        <v>0</v>
      </c>
      <c r="O6" s="753" t="s">
        <v>7</v>
      </c>
      <c r="P6" s="756">
        <f>SUMIFS(ProposedLoans!$T$6:$T$21,ProposedLoans!$D$6:$D$21,$C$2,ProposedLoans!$Z$6:$Z$21,$C6,ProposedLoans!$M$6:$M$21,ProposedLoansWkst!I$2)</f>
        <v>0</v>
      </c>
      <c r="Q6" s="756">
        <f>SUMIFS(ProposedLoans!$T$6:$T$21,ProposedLoans!$D$6:$D$21,$C$2,ProposedLoans!$Z$6:$Z$21,"*Apr*",ProposedLoans!$M$6:$M$21,ProposedLoansWkst!Q$2)</f>
        <v>0</v>
      </c>
      <c r="R6" s="756">
        <f>SUMIFS(ProposedLoans!$T$6:$T$21,ProposedLoans!$D$6:$D$21,$C$2,ProposedLoans!$Z$6:$Z$21,"*Apr*",ProposedLoans!$M$6:$M$21,ProposedLoansWkst!R$2)</f>
        <v>0</v>
      </c>
      <c r="S6" s="756">
        <f>SUMIFS(ProposedLoans!$T$6:$T$21,ProposedLoans!$D$6:$D$21,$C$2,ProposedLoans!$Z$6:$Z$21,"*Apr*",ProposedLoans!$M$6:$M$21,ProposedLoansWkst!S$2)</f>
        <v>0</v>
      </c>
    </row>
    <row r="7" spans="2:19" x14ac:dyDescent="0.2">
      <c r="B7" s="757" t="s">
        <v>3</v>
      </c>
      <c r="C7" s="758" t="s">
        <v>3</v>
      </c>
      <c r="D7" s="759">
        <f>SUM(ProposedLoansWkst!$I7:$L7)</f>
        <v>0</v>
      </c>
      <c r="E7" s="760">
        <f>SUM(ProposedLoansWkst!$P7:$S7)</f>
        <v>0</v>
      </c>
      <c r="F7" s="760">
        <f>SUM(ProposedLoansWkst!$M7)</f>
        <v>0</v>
      </c>
      <c r="H7" s="757" t="s">
        <v>3</v>
      </c>
      <c r="I7" s="759">
        <f>SUMIFS(ProposedLoans!$S$6:$S$21,ProposedLoans!$D$6:$D$21,$C$2,ProposedLoans!$Z$6:$Z$21,$C7,ProposedLoans!$M$6:$M$21,ProposedLoansWkst!I$2)</f>
        <v>0</v>
      </c>
      <c r="J7" s="760">
        <f>SUMIFS(ProposedLoans!$S$6:$S$21,ProposedLoans!$D$6:$D$21,$C$2,ProposedLoans!$Z$6:$Z$21,"*May*",ProposedLoans!$M$6:$M$21,ProposedLoansWkst!J$2)</f>
        <v>0</v>
      </c>
      <c r="K7" s="760">
        <f>SUMIFS(ProposedLoans!$S$6:$S$21,ProposedLoans!$D$6:$D$21,$C$2,ProposedLoans!$Z$6:$Z$21,"*May*",ProposedLoans!$M$6:$M$21,ProposedLoansWkst!K$2)</f>
        <v>0</v>
      </c>
      <c r="L7" s="760">
        <f>SUMIFS(ProposedLoans!$S$6:$S$21,ProposedLoans!$D$6:$D$21,$C$2,ProposedLoans!$Z$6:$Z$21,"*May*",ProposedLoans!$M$6:$M$21,ProposedLoansWkst!L$2)</f>
        <v>0</v>
      </c>
      <c r="M7" s="760">
        <f>SUMIFS(ProposedLoans!$F$6:$F$21,ProposedLoans!$D$6:$D$21,$C$2,ProposedLoans!$G$6:$G$21,"*May*")</f>
        <v>0</v>
      </c>
      <c r="O7" s="757" t="s">
        <v>3</v>
      </c>
      <c r="P7" s="760">
        <f>SUMIFS(ProposedLoans!$T$6:$T$21,ProposedLoans!$D$6:$D$21,$C$2,ProposedLoans!$Z$6:$Z$21,$C7,ProposedLoans!$M$6:$M$21,ProposedLoansWkst!I$2)</f>
        <v>0</v>
      </c>
      <c r="Q7" s="760">
        <f>SUMIFS(ProposedLoans!$T$6:$T$21,ProposedLoans!$D$6:$D$21,$C$2,ProposedLoans!$Z$6:$Z$21,"*May*",ProposedLoans!$M$6:$M$21,ProposedLoansWkst!Q$2)</f>
        <v>0</v>
      </c>
      <c r="R7" s="760">
        <f>SUMIFS(ProposedLoans!$T$6:$T$21,ProposedLoans!$D$6:$D$21,$C$2,ProposedLoans!$Z$6:$Z$21,"*May*",ProposedLoans!$M$6:$M$21,ProposedLoansWkst!R$2)</f>
        <v>0</v>
      </c>
      <c r="S7" s="760">
        <f>SUMIFS(ProposedLoans!$T$6:$T$21,ProposedLoans!$D$6:$D$21,$C$2,ProposedLoans!$Z$6:$Z$21,"*May*",ProposedLoans!$M$6:$M$21,ProposedLoansWkst!S$2)</f>
        <v>0</v>
      </c>
    </row>
    <row r="8" spans="2:19" x14ac:dyDescent="0.2">
      <c r="B8" s="753" t="s">
        <v>186</v>
      </c>
      <c r="C8" s="761" t="s">
        <v>8</v>
      </c>
      <c r="D8" s="755">
        <f>SUM(ProposedLoansWkst!$I8:$L8)</f>
        <v>0</v>
      </c>
      <c r="E8" s="756">
        <f>SUM(ProposedLoansWkst!$P8:$S8)</f>
        <v>0</v>
      </c>
      <c r="F8" s="756">
        <f>SUM(ProposedLoansWkst!$M8)</f>
        <v>0</v>
      </c>
      <c r="H8" s="753" t="s">
        <v>8</v>
      </c>
      <c r="I8" s="755">
        <f>SUMIFS(ProposedLoans!$S$6:$S$21,ProposedLoans!$D$6:$D$21,$C$2,ProposedLoans!$Z$6:$Z$21,$C8,ProposedLoans!$M$6:$M$21,ProposedLoansWkst!I$2)</f>
        <v>0</v>
      </c>
      <c r="J8" s="756">
        <f>SUMIFS(ProposedLoans!$S$6:$S$21,ProposedLoans!$D$6:$D$21,$C$2,ProposedLoans!$Z$6:$Z$21,"*Jun*",ProposedLoans!$M$6:$M$21,ProposedLoansWkst!J$2)</f>
        <v>0</v>
      </c>
      <c r="K8" s="756">
        <f>SUMIFS(ProposedLoans!$S$6:$S$21,ProposedLoans!$D$6:$D$21,$C$2,ProposedLoans!$Z$6:$Z$21,"*Jun*",ProposedLoans!$M$6:$M$21,ProposedLoansWkst!K$2)</f>
        <v>0</v>
      </c>
      <c r="L8" s="756">
        <f>SUMIFS(ProposedLoans!$S$6:$S$21,ProposedLoans!$D$6:$D$21,$C$2,ProposedLoans!$Z$6:$Z$21,"*Jun*",ProposedLoans!$M$6:$M$21,ProposedLoansWkst!L$2)</f>
        <v>0</v>
      </c>
      <c r="M8" s="756">
        <f>SUMIFS(ProposedLoans!$F$6:$F$21,ProposedLoans!$D$6:$D$21,$C$2,ProposedLoans!$G$6:$G$21,"*Jun*")</f>
        <v>0</v>
      </c>
      <c r="O8" s="753" t="s">
        <v>8</v>
      </c>
      <c r="P8" s="756">
        <f>SUMIFS(ProposedLoans!$T$6:$T$21,ProposedLoans!$D$6:$D$21,$C$2,ProposedLoans!$Z$6:$Z$21,$C8,ProposedLoans!$M$6:$M$21,ProposedLoansWkst!I$2)</f>
        <v>0</v>
      </c>
      <c r="Q8" s="756">
        <f>SUMIFS(ProposedLoans!$T$6:$T$21,ProposedLoans!$D$6:$D$21,$C$2,ProposedLoans!$Z$6:$Z$21,"*Jun*",ProposedLoans!$M$6:$M$21,ProposedLoansWkst!Q$2)</f>
        <v>0</v>
      </c>
      <c r="R8" s="756">
        <f>SUMIFS(ProposedLoans!$T$6:$T$21,ProposedLoans!$D$6:$D$21,$C$2,ProposedLoans!$Z$6:$Z$21,"*Jun*",ProposedLoans!$M$6:$M$21,ProposedLoansWkst!R$2)</f>
        <v>0</v>
      </c>
      <c r="S8" s="756">
        <f>SUMIFS(ProposedLoans!$T$6:$T$21,ProposedLoans!$D$6:$D$21,$C$2,ProposedLoans!$Z$6:$Z$21,"*Jun*",ProposedLoans!$M$6:$M$21,ProposedLoansWkst!S$2)</f>
        <v>0</v>
      </c>
    </row>
    <row r="9" spans="2:19" x14ac:dyDescent="0.2">
      <c r="B9" s="757" t="s">
        <v>187</v>
      </c>
      <c r="C9" s="758" t="s">
        <v>9</v>
      </c>
      <c r="D9" s="759">
        <f>SUM(ProposedLoansWkst!$I9:$L9)</f>
        <v>0</v>
      </c>
      <c r="E9" s="760">
        <f>SUM(ProposedLoansWkst!$P9:$S9)</f>
        <v>0</v>
      </c>
      <c r="F9" s="760">
        <f>SUM(ProposedLoansWkst!$M9)</f>
        <v>0</v>
      </c>
      <c r="H9" s="757" t="s">
        <v>9</v>
      </c>
      <c r="I9" s="759">
        <f>SUMIFS(ProposedLoans!$S$6:$S$21,ProposedLoans!$D$6:$D$21,$C$2,ProposedLoans!$Z$6:$Z$21,$C9,ProposedLoans!$M$6:$M$21,ProposedLoansWkst!I$2)</f>
        <v>0</v>
      </c>
      <c r="J9" s="760">
        <f>SUMIFS(ProposedLoans!$S$6:$S$21,ProposedLoans!$D$6:$D$21,$C$2,ProposedLoans!$Z$6:$Z$21,"*Jul*",ProposedLoans!$M$6:$M$21,ProposedLoansWkst!J$2)</f>
        <v>0</v>
      </c>
      <c r="K9" s="760">
        <f>SUMIFS(ProposedLoans!$S$6:$S$21,ProposedLoans!$D$6:$D$21,$C$2,ProposedLoans!$Z$6:$Z$21,"*Jul*",ProposedLoans!$M$6:$M$21,ProposedLoansWkst!K$2)</f>
        <v>0</v>
      </c>
      <c r="L9" s="760">
        <f>SUMIFS(ProposedLoans!$S$6:$S$21,ProposedLoans!$D$6:$D$21,$C$2,ProposedLoans!$Z$6:$Z$21,"*Jul*",ProposedLoans!$M$6:$M$21,ProposedLoansWkst!L$2)</f>
        <v>0</v>
      </c>
      <c r="M9" s="760">
        <f>SUMIFS(ProposedLoans!$F$6:$F$21,ProposedLoans!$D$6:$D$21,$C$2,ProposedLoans!$G$6:$G$21,"*Jul*")</f>
        <v>0</v>
      </c>
      <c r="O9" s="757" t="s">
        <v>9</v>
      </c>
      <c r="P9" s="760">
        <f>SUMIFS(ProposedLoans!$T$6:$T$21,ProposedLoans!$D$6:$D$21,$C$2,ProposedLoans!$Z$6:$Z$21,$C9,ProposedLoans!$M$6:$M$21,ProposedLoansWkst!I$2)</f>
        <v>0</v>
      </c>
      <c r="Q9" s="760">
        <f>SUMIFS(ProposedLoans!$T$6:$T$21,ProposedLoans!$D$6:$D$21,$C$2,ProposedLoans!$Z$6:$Z$21,"*Jul*",ProposedLoans!$M$6:$M$21,ProposedLoansWkst!Q$2)</f>
        <v>0</v>
      </c>
      <c r="R9" s="760">
        <f>SUMIFS(ProposedLoans!$T$6:$T$21,ProposedLoans!$D$6:$D$21,$C$2,ProposedLoans!$Z$6:$Z$21,"*Jul*",ProposedLoans!$M$6:$M$21,ProposedLoansWkst!R$2)</f>
        <v>0</v>
      </c>
      <c r="S9" s="760">
        <f>SUMIFS(ProposedLoans!$T$6:$T$21,ProposedLoans!$D$6:$D$21,$C$2,ProposedLoans!$Z$6:$Z$21,"*Jul*",ProposedLoans!$M$6:$M$21,ProposedLoansWkst!S$2)</f>
        <v>0</v>
      </c>
    </row>
    <row r="10" spans="2:19" x14ac:dyDescent="0.2">
      <c r="B10" s="753" t="s">
        <v>188</v>
      </c>
      <c r="C10" s="761" t="s">
        <v>10</v>
      </c>
      <c r="D10" s="755">
        <f>SUM(ProposedLoansWkst!$I10:$L10)</f>
        <v>0</v>
      </c>
      <c r="E10" s="756">
        <f>SUM(ProposedLoansWkst!$P10:$S10)</f>
        <v>0</v>
      </c>
      <c r="F10" s="756">
        <f>SUM(ProposedLoansWkst!$M10)</f>
        <v>0</v>
      </c>
      <c r="H10" s="753" t="s">
        <v>10</v>
      </c>
      <c r="I10" s="755">
        <f>SUMIFS(ProposedLoans!$S$6:$S$21,ProposedLoans!$D$6:$D$21,$C$2,ProposedLoans!$Z$6:$Z$21,$C10,ProposedLoans!$M$6:$M$21,ProposedLoansWkst!I$2)</f>
        <v>0</v>
      </c>
      <c r="J10" s="756">
        <f>SUMIFS(ProposedLoans!$S$6:$S$21,ProposedLoans!$D$6:$D$21,$C$2,ProposedLoans!$Z$6:$Z$21,"*Aug*",ProposedLoans!$M$6:$M$21,ProposedLoansWkst!J$2)</f>
        <v>0</v>
      </c>
      <c r="K10" s="756">
        <f>SUMIFS(ProposedLoans!$S$6:$S$21,ProposedLoans!$D$6:$D$21,$C$2,ProposedLoans!$Z$6:$Z$21,"*Aug*",ProposedLoans!$M$6:$M$21,ProposedLoansWkst!K$2)</f>
        <v>0</v>
      </c>
      <c r="L10" s="756">
        <f>SUMIFS(ProposedLoans!$S$6:$S$21,ProposedLoans!$D$6:$D$21,$C$2,ProposedLoans!$Z$6:$Z$21,"*Aug*",ProposedLoans!$M$6:$M$21,ProposedLoansWkst!L$2)</f>
        <v>0</v>
      </c>
      <c r="M10" s="756">
        <f>SUMIFS(ProposedLoans!$F$6:$F$21,ProposedLoans!$D$6:$D$21,$C$2,ProposedLoans!$G$6:$G$21,"*Aug*")</f>
        <v>0</v>
      </c>
      <c r="O10" s="753" t="s">
        <v>10</v>
      </c>
      <c r="P10" s="756">
        <f>SUMIFS(ProposedLoans!$T$6:$T$21,ProposedLoans!$D$6:$D$21,$C$2,ProposedLoans!$Z$6:$Z$21,$C10,ProposedLoans!$M$6:$M$21,ProposedLoansWkst!I$2)</f>
        <v>0</v>
      </c>
      <c r="Q10" s="756">
        <f>SUMIFS(ProposedLoans!$T$6:$T$21,ProposedLoans!$D$6:$D$21,$C$2,ProposedLoans!$Z$6:$Z$21,"*Aug*",ProposedLoans!$M$6:$M$21,ProposedLoansWkst!Q$2)</f>
        <v>0</v>
      </c>
      <c r="R10" s="756">
        <f>SUMIFS(ProposedLoans!$T$6:$T$21,ProposedLoans!$D$6:$D$21,$C$2,ProposedLoans!$Z$6:$Z$21,"*Aug*",ProposedLoans!$M$6:$M$21,ProposedLoansWkst!R$2)</f>
        <v>0</v>
      </c>
      <c r="S10" s="756">
        <f>SUMIFS(ProposedLoans!$T$6:$T$21,ProposedLoans!$D$6:$D$21,$C$2,ProposedLoans!$Z$6:$Z$21,"*Aug*",ProposedLoans!$M$6:$M$21,ProposedLoansWkst!S$2)</f>
        <v>0</v>
      </c>
    </row>
    <row r="11" spans="2:19" x14ac:dyDescent="0.2">
      <c r="B11" s="757" t="s">
        <v>189</v>
      </c>
      <c r="C11" s="758" t="s">
        <v>11</v>
      </c>
      <c r="D11" s="759">
        <f>SUM(ProposedLoansWkst!$I11:$L11)</f>
        <v>0</v>
      </c>
      <c r="E11" s="760">
        <f>SUM(ProposedLoansWkst!$P11:$S11)</f>
        <v>0</v>
      </c>
      <c r="F11" s="760">
        <f>SUM(ProposedLoansWkst!$M11)</f>
        <v>0</v>
      </c>
      <c r="H11" s="757" t="s">
        <v>11</v>
      </c>
      <c r="I11" s="759">
        <f>SUMIFS(ProposedLoans!$S$6:$S$21,ProposedLoans!$D$6:$D$21,$C$2,ProposedLoans!$Z$6:$Z$21,$C11,ProposedLoans!$M$6:$M$21,ProposedLoansWkst!I$2)</f>
        <v>0</v>
      </c>
      <c r="J11" s="760">
        <f>SUMIFS(ProposedLoans!$S$6:$S$21,ProposedLoans!$D$6:$D$21,$C$2,ProposedLoans!$Z$6:$Z$21,"*Sep*",ProposedLoans!$M$6:$M$21,ProposedLoansWkst!J$2)</f>
        <v>0</v>
      </c>
      <c r="K11" s="760">
        <f>SUMIFS(ProposedLoans!$S$6:$S$21,ProposedLoans!$D$6:$D$21,$C$2,ProposedLoans!$Z$6:$Z$21,"*Sep*",ProposedLoans!$M$6:$M$21,ProposedLoansWkst!K$2)</f>
        <v>0</v>
      </c>
      <c r="L11" s="760">
        <f>SUMIFS(ProposedLoans!$S$6:$S$21,ProposedLoans!$D$6:$D$21,$C$2,ProposedLoans!$Z$6:$Z$21,"*Sep*",ProposedLoans!$M$6:$M$21,ProposedLoansWkst!L$2)</f>
        <v>0</v>
      </c>
      <c r="M11" s="760">
        <f>SUMIFS(ProposedLoans!$F$6:$F$21,ProposedLoans!$D$6:$D$21,$C$2,ProposedLoans!$G$6:$G$21,"*Sep*")</f>
        <v>0</v>
      </c>
      <c r="O11" s="757" t="s">
        <v>11</v>
      </c>
      <c r="P11" s="760">
        <f>SUMIFS(ProposedLoans!$T$6:$T$21,ProposedLoans!$D$6:$D$21,$C$2,ProposedLoans!$Z$6:$Z$21,$C11,ProposedLoans!$M$6:$M$21,ProposedLoansWkst!I$2)</f>
        <v>0</v>
      </c>
      <c r="Q11" s="760">
        <f>SUMIFS(ProposedLoans!$T$6:$T$21,ProposedLoans!$D$6:$D$21,$C$2,ProposedLoans!$Z$6:$Z$21,"*Sep*",ProposedLoans!$M$6:$M$21,ProposedLoansWkst!Q$2)</f>
        <v>0</v>
      </c>
      <c r="R11" s="760">
        <f>SUMIFS(ProposedLoans!$T$6:$T$21,ProposedLoans!$D$6:$D$21,$C$2,ProposedLoans!$Z$6:$Z$21,"*Sep*",ProposedLoans!$M$6:$M$21,ProposedLoansWkst!R$2)</f>
        <v>0</v>
      </c>
      <c r="S11" s="760">
        <f>SUMIFS(ProposedLoans!$T$6:$T$21,ProposedLoans!$D$6:$D$21,$C$2,ProposedLoans!$Z$6:$Z$21,"*Sep*",ProposedLoans!$M$6:$M$21,ProposedLoansWkst!S$2)</f>
        <v>0</v>
      </c>
    </row>
    <row r="12" spans="2:19" x14ac:dyDescent="0.2">
      <c r="B12" s="753" t="s">
        <v>190</v>
      </c>
      <c r="C12" s="761" t="s">
        <v>12</v>
      </c>
      <c r="D12" s="755">
        <f>SUM(ProposedLoansWkst!$I12:$L12)</f>
        <v>0</v>
      </c>
      <c r="E12" s="756">
        <f>SUM(ProposedLoansWkst!$P12:$S12)</f>
        <v>0</v>
      </c>
      <c r="F12" s="756">
        <f>SUM(ProposedLoansWkst!$M12)</f>
        <v>0</v>
      </c>
      <c r="H12" s="753" t="s">
        <v>12</v>
      </c>
      <c r="I12" s="755">
        <f>SUMIFS(ProposedLoans!$S$6:$S$21,ProposedLoans!$D$6:$D$21,$C$2,ProposedLoans!$Z$6:$Z$21,$C12,ProposedLoans!$M$6:$M$21,ProposedLoansWkst!I$2)</f>
        <v>0</v>
      </c>
      <c r="J12" s="756">
        <f>SUMIFS(ProposedLoans!$S$6:$S$21,ProposedLoans!$D$6:$D$21,$C$2,ProposedLoans!$Z$6:$Z$21,"*Oct*",ProposedLoans!$M$6:$M$21,ProposedLoansWkst!J$2)</f>
        <v>0</v>
      </c>
      <c r="K12" s="756">
        <f>SUMIFS(ProposedLoans!$S$6:$S$21,ProposedLoans!$D$6:$D$21,$C$2,ProposedLoans!$Z$6:$Z$21,"*Oct*",ProposedLoans!$M$6:$M$21,ProposedLoansWkst!K$2)</f>
        <v>0</v>
      </c>
      <c r="L12" s="756">
        <f>SUMIFS(ProposedLoans!$S$6:$S$21,ProposedLoans!$D$6:$D$21,$C$2,ProposedLoans!$Z$6:$Z$21,"*Oct*",ProposedLoans!$M$6:$M$21,ProposedLoansWkst!L$2)</f>
        <v>0</v>
      </c>
      <c r="M12" s="756">
        <f>SUMIFS(ProposedLoans!$F$6:$F$21,ProposedLoans!$D$6:$D$21,$C$2,ProposedLoans!$G$6:$G$21,"*Oct*")</f>
        <v>0</v>
      </c>
      <c r="O12" s="753" t="s">
        <v>12</v>
      </c>
      <c r="P12" s="756">
        <f>SUMIFS(ProposedLoans!$T$6:$T$21,ProposedLoans!$D$6:$D$21,$C$2,ProposedLoans!$Z$6:$Z$21,$C12,ProposedLoans!$M$6:$M$21,ProposedLoansWkst!I$2)</f>
        <v>0</v>
      </c>
      <c r="Q12" s="756">
        <f>SUMIFS(ProposedLoans!$T$6:$T$21,ProposedLoans!$D$6:$D$21,$C$2,ProposedLoans!$Z$6:$Z$21,"*Oct*",ProposedLoans!$M$6:$M$21,ProposedLoansWkst!Q$2)</f>
        <v>0</v>
      </c>
      <c r="R12" s="756">
        <f>SUMIFS(ProposedLoans!$T$6:$T$21,ProposedLoans!$D$6:$D$21,$C$2,ProposedLoans!$Z$6:$Z$21,"*Oct*",ProposedLoans!$M$6:$M$21,ProposedLoansWkst!R$2)</f>
        <v>0</v>
      </c>
      <c r="S12" s="756">
        <f>SUMIFS(ProposedLoans!$T$6:$T$21,ProposedLoans!$D$6:$D$21,$C$2,ProposedLoans!$Z$6:$Z$21,"*Oct*",ProposedLoans!$M$6:$M$21,ProposedLoansWkst!S$2)</f>
        <v>0</v>
      </c>
    </row>
    <row r="13" spans="2:19" x14ac:dyDescent="0.2">
      <c r="B13" s="757" t="s">
        <v>191</v>
      </c>
      <c r="C13" s="758" t="s">
        <v>13</v>
      </c>
      <c r="D13" s="759">
        <f>SUM(ProposedLoansWkst!$I13:$L13)</f>
        <v>0</v>
      </c>
      <c r="E13" s="760">
        <f>SUM(ProposedLoansWkst!$P13:$S13)</f>
        <v>0</v>
      </c>
      <c r="F13" s="760">
        <f>SUM(ProposedLoansWkst!$M13)</f>
        <v>0</v>
      </c>
      <c r="H13" s="757" t="s">
        <v>13</v>
      </c>
      <c r="I13" s="759">
        <f>SUMIFS(ProposedLoans!$S$6:$S$21,ProposedLoans!$D$6:$D$21,$C$2,ProposedLoans!$Z$6:$Z$21,$C13,ProposedLoans!$M$6:$M$21,ProposedLoansWkst!I$2)</f>
        <v>0</v>
      </c>
      <c r="J13" s="760">
        <f>SUMIFS(ProposedLoans!$S$6:$S$21,ProposedLoans!$D$6:$D$21,$C$2,ProposedLoans!$Z$6:$Z$21,"*Nov*",ProposedLoans!$M$6:$M$21,ProposedLoansWkst!J$2)</f>
        <v>0</v>
      </c>
      <c r="K13" s="760">
        <f>SUMIFS(ProposedLoans!$S$6:$S$21,ProposedLoans!$D$6:$D$21,$C$2,ProposedLoans!$Z$6:$Z$21,"*Nov*",ProposedLoans!$M$6:$M$21,ProposedLoansWkst!K$2)</f>
        <v>0</v>
      </c>
      <c r="L13" s="760">
        <f>SUMIFS(ProposedLoans!$S$6:$S$21,ProposedLoans!$D$6:$D$21,$C$2,ProposedLoans!$Z$6:$Z$21,"*Nov*",ProposedLoans!$M$6:$M$21,ProposedLoansWkst!L$2)</f>
        <v>0</v>
      </c>
      <c r="M13" s="760">
        <f>SUMIFS(ProposedLoans!$F$6:$F$21,ProposedLoans!$D$6:$D$21,$C$2,ProposedLoans!$G$6:$G$21,"*Nov*")</f>
        <v>0</v>
      </c>
      <c r="O13" s="757" t="s">
        <v>13</v>
      </c>
      <c r="P13" s="760">
        <f>SUMIFS(ProposedLoans!$T$6:$T$21,ProposedLoans!$D$6:$D$21,$C$2,ProposedLoans!$Z$6:$Z$21,$C13,ProposedLoans!$M$6:$M$21,ProposedLoansWkst!I$2)</f>
        <v>0</v>
      </c>
      <c r="Q13" s="760">
        <f>SUMIFS(ProposedLoans!$T$6:$T$21,ProposedLoans!$D$6:$D$21,$C$2,ProposedLoans!$Z$6:$Z$21,"*Nov*",ProposedLoans!$M$6:$M$21,ProposedLoansWkst!Q$2)</f>
        <v>0</v>
      </c>
      <c r="R13" s="760">
        <f>SUMIFS(ProposedLoans!$T$6:$T$21,ProposedLoans!$D$6:$D$21,$C$2,ProposedLoans!$Z$6:$Z$21,"*Nov*",ProposedLoans!$M$6:$M$21,ProposedLoansWkst!R$2)</f>
        <v>0</v>
      </c>
      <c r="S13" s="760">
        <f>SUMIFS(ProposedLoans!$T$6:$T$21,ProposedLoans!$D$6:$D$21,$C$2,ProposedLoans!$Z$6:$Z$21,"*Nov*",ProposedLoans!$M$6:$M$21,ProposedLoansWkst!S$2)</f>
        <v>0</v>
      </c>
    </row>
    <row r="14" spans="2:19" ht="13.5" thickBot="1" x14ac:dyDescent="0.25">
      <c r="B14" s="753" t="s">
        <v>192</v>
      </c>
      <c r="C14" s="761" t="s">
        <v>14</v>
      </c>
      <c r="D14" s="755">
        <f>SUM(ProposedLoansWkst!$I14:$L14)</f>
        <v>0</v>
      </c>
      <c r="E14" s="756">
        <f>SUM(ProposedLoansWkst!$P14:$S14)</f>
        <v>0</v>
      </c>
      <c r="F14" s="756">
        <f>SUM(ProposedLoansWkst!$M14)</f>
        <v>0</v>
      </c>
      <c r="H14" s="753" t="s">
        <v>14</v>
      </c>
      <c r="I14" s="755">
        <f>SUMIFS(ProposedLoans!$S$6:$S$21,ProposedLoans!$D$6:$D$21,$C$2,ProposedLoans!$Z$6:$Z$21,$C14,ProposedLoans!$M$6:$M$21,ProposedLoansWkst!I$2)</f>
        <v>0</v>
      </c>
      <c r="J14" s="756">
        <f>SUMIFS(ProposedLoans!$S$6:$S$21,ProposedLoans!$D$6:$D$21,$C$2,ProposedLoans!$Z$6:$Z$21,"*Dec*",ProposedLoans!$M$6:$M$21,ProposedLoansWkst!J$2)</f>
        <v>0</v>
      </c>
      <c r="K14" s="756">
        <f>SUMIFS(ProposedLoans!$S$6:$S$21,ProposedLoans!$D$6:$D$21,$C$2,ProposedLoans!$Z$6:$Z$21,"*Dec*",ProposedLoans!$M$6:$M$21,ProposedLoansWkst!K$2)</f>
        <v>0</v>
      </c>
      <c r="L14" s="756">
        <f>SUMIFS(ProposedLoans!$S$6:$S$21,ProposedLoans!$D$6:$D$21,$C$2,ProposedLoans!$Z$6:$Z$21,"*Dec*",ProposedLoans!$M$6:$M$21,ProposedLoansWkst!L$2)</f>
        <v>0</v>
      </c>
      <c r="M14" s="756">
        <f>SUMIFS(ProposedLoans!$F$6:$F$21,ProposedLoans!$D$6:$D$21,$C$2,ProposedLoans!$G$6:$G$21,"*Dec*")</f>
        <v>0</v>
      </c>
      <c r="O14" s="753" t="s">
        <v>14</v>
      </c>
      <c r="P14" s="756">
        <f>SUMIFS(ProposedLoans!$T$6:$T$21,ProposedLoans!$D$6:$D$21,$C$2,ProposedLoans!$Z$6:$Z$21,$C14,ProposedLoans!$M$6:$M$21,ProposedLoansWkst!I$2)</f>
        <v>0</v>
      </c>
      <c r="Q14" s="756">
        <f>SUMIFS(ProposedLoans!$T$6:$T$21,ProposedLoans!$D$6:$D$21,$C$2,ProposedLoans!$Z$6:$Z$21,"*Dec*",ProposedLoans!$M$6:$M$21,ProposedLoansWkst!Q$2)</f>
        <v>0</v>
      </c>
      <c r="R14" s="756">
        <f>SUMIFS(ProposedLoans!$T$6:$T$21,ProposedLoans!$D$6:$D$21,$C$2,ProposedLoans!$Z$6:$Z$21,"*Dec*",ProposedLoans!$M$6:$M$21,ProposedLoansWkst!R$2)</f>
        <v>0</v>
      </c>
      <c r="S14" s="756">
        <f>SUMIFS(ProposedLoans!$T$6:$T$21,ProposedLoans!$D$6:$D$21,$C$2,ProposedLoans!$Z$6:$Z$21,"*Dec*",ProposedLoans!$M$6:$M$21,ProposedLoansWkst!S$2)</f>
        <v>0</v>
      </c>
    </row>
    <row r="15" spans="2:19" ht="13.5" thickTop="1" x14ac:dyDescent="0.2">
      <c r="B15" s="762"/>
      <c r="C15" s="763"/>
      <c r="D15" s="764">
        <f>SUM(ProposedLoansWkst!$D$3:$D$14)</f>
        <v>0</v>
      </c>
      <c r="E15" s="746">
        <f>SUM(ProposedLoansWkst!$E$3:$E$14)</f>
        <v>0</v>
      </c>
      <c r="F15" s="745">
        <f>SUM(ProposedLoansWkst!$F$3:$F$14)</f>
        <v>0</v>
      </c>
      <c r="H15" s="767"/>
      <c r="I15" s="745">
        <f>SUM(ProposedLoansWkst!$I$3:$I$14)</f>
        <v>0</v>
      </c>
      <c r="J15" s="745">
        <f>SUM(ProposedLoansWkst!$J$3:$J$14)</f>
        <v>0</v>
      </c>
      <c r="K15" s="745">
        <f>SUM(ProposedLoansWkst!$K$3:$K$14)</f>
        <v>0</v>
      </c>
      <c r="L15" s="745">
        <f>SUM(ProposedLoansWkst!$L$3:$L$14)</f>
        <v>0</v>
      </c>
      <c r="M15" s="745">
        <f>SUM(ProposedLoansWkst!$M$3:$M$14)</f>
        <v>0</v>
      </c>
      <c r="O15" s="767"/>
      <c r="P15" s="745">
        <f>SUM(ProposedLoansWkst!$P$3:$P$14)</f>
        <v>0</v>
      </c>
      <c r="Q15" s="745">
        <f>SUM(ProposedLoansWkst!$Q$3:$Q$14)</f>
        <v>0</v>
      </c>
      <c r="R15" s="745">
        <f>SUM(ProposedLoansWkst!$R$3:$R$14)</f>
        <v>0</v>
      </c>
      <c r="S15" s="745">
        <f>SUM(ProposedLoansWkst!$S$3:$S$14)</f>
        <v>0</v>
      </c>
    </row>
    <row r="18" spans="2:19" ht="13.5" thickBot="1" x14ac:dyDescent="0.25">
      <c r="B18" s="747" t="s">
        <v>125</v>
      </c>
      <c r="C18" s="748" t="s">
        <v>173</v>
      </c>
      <c r="D18" s="748" t="s">
        <v>175</v>
      </c>
      <c r="E18" s="748" t="s">
        <v>176</v>
      </c>
      <c r="F18" s="748" t="s">
        <v>209</v>
      </c>
      <c r="H18" s="747" t="s">
        <v>196</v>
      </c>
      <c r="I18" s="748" t="s">
        <v>104</v>
      </c>
      <c r="J18" s="748" t="s">
        <v>102</v>
      </c>
      <c r="K18" s="748" t="s">
        <v>100</v>
      </c>
      <c r="L18" s="748" t="s">
        <v>99</v>
      </c>
      <c r="M18" s="748" t="s">
        <v>209</v>
      </c>
      <c r="N18" s="57"/>
      <c r="O18" s="747" t="s">
        <v>196</v>
      </c>
      <c r="P18" s="768" t="s">
        <v>104</v>
      </c>
      <c r="Q18" s="768" t="s">
        <v>102</v>
      </c>
      <c r="R18" s="768" t="s">
        <v>100</v>
      </c>
      <c r="S18" s="768" t="s">
        <v>99</v>
      </c>
    </row>
    <row r="19" spans="2:19" ht="13.5" thickTop="1" x14ac:dyDescent="0.2">
      <c r="B19" s="749" t="s">
        <v>182</v>
      </c>
      <c r="C19" s="750" t="s">
        <v>4</v>
      </c>
      <c r="D19" s="752">
        <f>SUM(ProposedLoansWkst!$I19:$L19)</f>
        <v>0</v>
      </c>
      <c r="E19" s="752">
        <f>SUM(ProposedLoansWkst!$P19:$S19)</f>
        <v>0</v>
      </c>
      <c r="F19" s="752">
        <f>ProposedLoansWkst!$M19</f>
        <v>0</v>
      </c>
      <c r="H19" s="765" t="s">
        <v>4</v>
      </c>
      <c r="I19" s="752">
        <f>SUMIFS(ProposedLoans!$S$6:$S$21,ProposedLoans!$D$6:$D$21,$C$18,ProposedLoans!$Z$6:$Z$21,$C19,ProposedLoans!$M$6:$M$21,ProposedLoansWkst!I$2)</f>
        <v>0</v>
      </c>
      <c r="J19" s="752">
        <f>SUMIFS(ProposedLoans!$S$6:$S$21,ProposedLoans!$D$6:$D$21,$C$18,ProposedLoans!$Z$6:$Z$21,"*Jan*",ProposedLoans!$M$6:$M$21,ProposedLoansWkst!J$2)</f>
        <v>0</v>
      </c>
      <c r="K19" s="752">
        <f>SUMIFS(ProposedLoans!$S$6:$S$21,ProposedLoans!$D$6:$D$21,$C$18,ProposedLoans!$Z$6:$Z$21,"*Jan*",ProposedLoans!$M$6:$M$21,ProposedLoansWkst!K$2)</f>
        <v>0</v>
      </c>
      <c r="L19" s="752">
        <f>SUMIFS(ProposedLoans!$S$6:$S$21,ProposedLoans!$D$6:$D$21,$C$18,ProposedLoans!$Z$6:$Z$21,"*Jan*",ProposedLoans!$M$6:$M$21,ProposedLoansWkst!L$2)</f>
        <v>0</v>
      </c>
      <c r="M19" s="752">
        <f>SUMIFS(ProposedLoans!$F$6:$F$21,ProposedLoans!$D$6:$D$21,$C$18,ProposedLoans!$G$6:$G$21,"*Jan*")</f>
        <v>0</v>
      </c>
      <c r="O19" s="765" t="s">
        <v>4</v>
      </c>
      <c r="P19" s="752">
        <f>SUMIFS(ProposedLoans!$T$6:$T$21,ProposedLoans!$D$6:$D$21,$C$18,ProposedLoans!$Z$6:$Z$21,$C19,ProposedLoans!$M$6:$M$21,ProposedLoansWkst!I$2)</f>
        <v>0</v>
      </c>
      <c r="Q19" s="752">
        <f>SUMIFS(ProposedLoans!$T$6:$T$21,ProposedLoans!$D$6:$D$21,$C$18,ProposedLoans!$Z$6:$Z$21,"*Jan*",ProposedLoans!$M$6:$M$21,ProposedLoansWkst!Q$2)</f>
        <v>0</v>
      </c>
      <c r="R19" s="752">
        <f>SUMIFS(ProposedLoans!$T$6:$T$21,ProposedLoans!$D$6:$D$21,$C$18,ProposedLoans!$Z$6:$Z$21,"*Jan*",ProposedLoans!$M$6:$M$21,ProposedLoansWkst!R$2)</f>
        <v>0</v>
      </c>
      <c r="S19" s="752">
        <f>SUMIFS(ProposedLoans!$T$6:$T$21,ProposedLoans!$D$6:$D$21,$C$18,ProposedLoans!$Z$6:$Z$21,"*Jan*",ProposedLoans!$M$6:$M$21,ProposedLoansWkst!S$2)</f>
        <v>0</v>
      </c>
    </row>
    <row r="20" spans="2:19" x14ac:dyDescent="0.2">
      <c r="B20" s="753" t="s">
        <v>183</v>
      </c>
      <c r="C20" s="754" t="s">
        <v>5</v>
      </c>
      <c r="D20" s="756">
        <f>SUM(ProposedLoansWkst!$I20:$L20)</f>
        <v>0</v>
      </c>
      <c r="E20" s="756">
        <f>SUM(ProposedLoansWkst!$P20:$S20)</f>
        <v>0</v>
      </c>
      <c r="F20" s="756">
        <f>ProposedLoansWkst!$M20</f>
        <v>0</v>
      </c>
      <c r="H20" s="766" t="s">
        <v>5</v>
      </c>
      <c r="I20" s="756">
        <f>SUMIFS(ProposedLoans!$S$6:$S$21,ProposedLoans!$D$6:$D$21,$C$18,ProposedLoans!$Z$6:$Z$21,$C20,ProposedLoans!$M$6:$M$21,ProposedLoansWkst!I$2)</f>
        <v>0</v>
      </c>
      <c r="J20" s="756">
        <f>SUMIFS(ProposedLoans!$S$6:$S$21,ProposedLoans!$D$6:$D$21,$C$18,ProposedLoans!$Z$6:$Z$21,"*Feb*",ProposedLoans!$M$6:$M$21,ProposedLoansWkst!J$2)</f>
        <v>0</v>
      </c>
      <c r="K20" s="756">
        <f>SUMIFS(ProposedLoans!$S$6:$S$21,ProposedLoans!$D$6:$D$21,$C$18,ProposedLoans!$Z$6:$Z$21,"*Feb*",ProposedLoans!$M$6:$M$21,ProposedLoansWkst!K$2)</f>
        <v>0</v>
      </c>
      <c r="L20" s="756">
        <f>SUMIFS(ProposedLoans!$S$6:$S$21,ProposedLoans!$D$6:$D$21,$C$18,ProposedLoans!$Z$6:$Z$21,"*Feb*",ProposedLoans!$M$6:$M$21,ProposedLoansWkst!L$2)</f>
        <v>0</v>
      </c>
      <c r="M20" s="756">
        <f>SUMIFS(ProposedLoans!$F$6:$F$21,ProposedLoans!$D$6:$D$21,$C$18,ProposedLoans!$G$6:$G$21,"*Feb*")</f>
        <v>0</v>
      </c>
      <c r="O20" s="766" t="s">
        <v>5</v>
      </c>
      <c r="P20" s="756">
        <f>SUMIFS(ProposedLoans!$T$6:$T$21,ProposedLoans!$D$6:$D$21,$C$18,ProposedLoans!$Z$6:$Z$21,$C20,ProposedLoans!$M$6:$M$21,ProposedLoansWkst!I$2)</f>
        <v>0</v>
      </c>
      <c r="Q20" s="756">
        <f>SUMIFS(ProposedLoans!$T$6:$T$21,ProposedLoans!$D$6:$D$21,$C$18,ProposedLoans!$Z$6:$Z$21,"*Feb*",ProposedLoans!$M$6:$M$21,ProposedLoansWkst!Q$2)</f>
        <v>0</v>
      </c>
      <c r="R20" s="756">
        <f>SUMIFS(ProposedLoans!$T$6:$T$21,ProposedLoans!$D$6:$D$21,$C$18,ProposedLoans!$Z$6:$Z$21,"*Feb*",ProposedLoans!$M$6:$M$21,ProposedLoansWkst!R$2)</f>
        <v>0</v>
      </c>
      <c r="S20" s="756">
        <f>SUMIFS(ProposedLoans!$T$6:$T$21,ProposedLoans!$D$6:$D$21,$C$18,ProposedLoans!$Z$6:$Z$21,"*Feb*",ProposedLoans!$M$6:$M$21,ProposedLoansWkst!S$2)</f>
        <v>0</v>
      </c>
    </row>
    <row r="21" spans="2:19" x14ac:dyDescent="0.2">
      <c r="B21" s="757" t="s">
        <v>184</v>
      </c>
      <c r="C21" s="758" t="s">
        <v>6</v>
      </c>
      <c r="D21" s="760">
        <f>SUM(ProposedLoansWkst!$I21:$L21)</f>
        <v>0</v>
      </c>
      <c r="E21" s="760">
        <f>SUM(ProposedLoansWkst!$P21:$S21)</f>
        <v>0</v>
      </c>
      <c r="F21" s="760">
        <f>ProposedLoansWkst!$M21</f>
        <v>0</v>
      </c>
      <c r="H21" s="757" t="s">
        <v>6</v>
      </c>
      <c r="I21" s="760">
        <f>SUMIFS(ProposedLoans!$S$6:$S$21,ProposedLoans!$D$6:$D$21,$C$18,ProposedLoans!$Z$6:$Z$21,$C21,ProposedLoans!$M$6:$M$21,ProposedLoansWkst!I$2)</f>
        <v>0</v>
      </c>
      <c r="J21" s="760">
        <f>SUMIFS(ProposedLoans!$S$6:$S$21,ProposedLoans!$D$6:$D$21,$C$18,ProposedLoans!$Z$6:$Z$21,"*Mar*",ProposedLoans!$M$6:$M$21,ProposedLoansWkst!J$2)</f>
        <v>0</v>
      </c>
      <c r="K21" s="760">
        <f>SUMIFS(ProposedLoans!$S$6:$S$21,ProposedLoans!$D$6:$D$21,$C$18,ProposedLoans!$Z$6:$Z$21,"*Mar*",ProposedLoans!$M$6:$M$21,ProposedLoansWkst!K$2)</f>
        <v>0</v>
      </c>
      <c r="L21" s="760">
        <f>SUMIFS(ProposedLoans!$S$6:$S$21,ProposedLoans!$D$6:$D$21,$C$18,ProposedLoans!$Z$6:$Z$21,"*Mar*",ProposedLoans!$M$6:$M$21,ProposedLoansWkst!L$2)</f>
        <v>0</v>
      </c>
      <c r="M21" s="760">
        <f>SUMIFS(ProposedLoans!$F$6:$F$21,ProposedLoans!$D$6:$D$21,$C$18,ProposedLoans!$G$6:$G$21,"*Mar*")</f>
        <v>0</v>
      </c>
      <c r="O21" s="757" t="s">
        <v>6</v>
      </c>
      <c r="P21" s="760">
        <f>SUMIFS(ProposedLoans!$T$6:$T$21,ProposedLoans!$D$6:$D$21,$C$18,ProposedLoans!$Z$6:$Z$21,$C21,ProposedLoans!$M$6:$M$21,ProposedLoansWkst!I$2)</f>
        <v>0</v>
      </c>
      <c r="Q21" s="760">
        <f>SUMIFS(ProposedLoans!$T$6:$T$21,ProposedLoans!$D$6:$D$21,$C$18,ProposedLoans!$Z$6:$Z$21,"*Mar*",ProposedLoans!$M$6:$M$21,ProposedLoansWkst!Q$2)</f>
        <v>0</v>
      </c>
      <c r="R21" s="760">
        <f>SUMIFS(ProposedLoans!$T$6:$T$21,ProposedLoans!$D$6:$D$21,$C$18,ProposedLoans!$Z$6:$Z$21,"*Mar*",ProposedLoans!$M$6:$M$21,ProposedLoansWkst!R$2)</f>
        <v>0</v>
      </c>
      <c r="S21" s="760">
        <f>SUMIFS(ProposedLoans!$T$6:$T$21,ProposedLoans!$D$6:$D$21,$C$18,ProposedLoans!$Z$6:$Z$21,"*Mar*",ProposedLoans!$M$6:$M$21,ProposedLoansWkst!S$2)</f>
        <v>0</v>
      </c>
    </row>
    <row r="22" spans="2:19" x14ac:dyDescent="0.2">
      <c r="B22" s="753" t="s">
        <v>185</v>
      </c>
      <c r="C22" s="761" t="s">
        <v>7</v>
      </c>
      <c r="D22" s="756">
        <f>SUM(ProposedLoansWkst!$I22:$L22)</f>
        <v>0</v>
      </c>
      <c r="E22" s="756">
        <f>SUM(ProposedLoansWkst!$P22:$S22)</f>
        <v>0</v>
      </c>
      <c r="F22" s="756">
        <f>ProposedLoansWkst!$M22</f>
        <v>0</v>
      </c>
      <c r="H22" s="753" t="s">
        <v>7</v>
      </c>
      <c r="I22" s="756">
        <f>SUMIFS(ProposedLoans!$S$6:$S$21,ProposedLoans!$D$6:$D$21,$C$18,ProposedLoans!$Z$6:$Z$21,$C22,ProposedLoans!$M$6:$M$21,ProposedLoansWkst!I$2)</f>
        <v>0</v>
      </c>
      <c r="J22" s="756">
        <f>SUMIFS(ProposedLoans!$S$6:$S$21,ProposedLoans!$D$6:$D$21,$C$18,ProposedLoans!$Z$6:$Z$21,"*Apr*",ProposedLoans!$M$6:$M$21,ProposedLoansWkst!J$2)</f>
        <v>0</v>
      </c>
      <c r="K22" s="756">
        <f>SUMIFS(ProposedLoans!$S$6:$S$21,ProposedLoans!$D$6:$D$21,$C$18,ProposedLoans!$Z$6:$Z$21,"*Apr*",ProposedLoans!$M$6:$M$21,ProposedLoansWkst!K$2)</f>
        <v>0</v>
      </c>
      <c r="L22" s="756">
        <f>SUMIFS(ProposedLoans!$S$6:$S$21,ProposedLoans!$D$6:$D$21,$C$18,ProposedLoans!$Z$6:$Z$21,"*Apr*",ProposedLoans!$M$6:$M$21,ProposedLoansWkst!L$2)</f>
        <v>0</v>
      </c>
      <c r="M22" s="756">
        <f>SUMIFS(ProposedLoans!$F$6:$F$21,ProposedLoans!$D$6:$D$21,$C$18,ProposedLoans!$G$6:$G$21,"*Apr*")</f>
        <v>0</v>
      </c>
      <c r="O22" s="753" t="s">
        <v>7</v>
      </c>
      <c r="P22" s="756">
        <f>SUMIFS(ProposedLoans!$T$6:$T$21,ProposedLoans!$D$6:$D$21,$C$18,ProposedLoans!$Z$6:$Z$21,$C22,ProposedLoans!$M$6:$M$21,ProposedLoansWkst!I$2)</f>
        <v>0</v>
      </c>
      <c r="Q22" s="756">
        <f>SUMIFS(ProposedLoans!$T$6:$T$21,ProposedLoans!$D$6:$D$21,$C$18,ProposedLoans!$Z$6:$Z$21,"*Apr*",ProposedLoans!$M$6:$M$21,ProposedLoansWkst!Q$2)</f>
        <v>0</v>
      </c>
      <c r="R22" s="756">
        <f>SUMIFS(ProposedLoans!$T$6:$T$21,ProposedLoans!$D$6:$D$21,$C$18,ProposedLoans!$Z$6:$Z$21,"*Apr*",ProposedLoans!$M$6:$M$21,ProposedLoansWkst!R$2)</f>
        <v>0</v>
      </c>
      <c r="S22" s="756">
        <f>SUMIFS(ProposedLoans!$T$6:$T$21,ProposedLoans!$D$6:$D$21,$C$18,ProposedLoans!$Z$6:$Z$21,"*Apr*",ProposedLoans!$M$6:$M$21,ProposedLoansWkst!S$2)</f>
        <v>0</v>
      </c>
    </row>
    <row r="23" spans="2:19" x14ac:dyDescent="0.2">
      <c r="B23" s="757" t="s">
        <v>3</v>
      </c>
      <c r="C23" s="758" t="s">
        <v>3</v>
      </c>
      <c r="D23" s="760">
        <f>SUM(ProposedLoansWkst!$I23:$L23)</f>
        <v>0</v>
      </c>
      <c r="E23" s="760">
        <f>SUM(ProposedLoansWkst!$P23:$S23)</f>
        <v>0</v>
      </c>
      <c r="F23" s="760">
        <f>ProposedLoansWkst!$M23</f>
        <v>0</v>
      </c>
      <c r="H23" s="757" t="s">
        <v>3</v>
      </c>
      <c r="I23" s="760">
        <f>SUMIFS(ProposedLoans!$S$6:$S$21,ProposedLoans!$D$6:$D$21,$C$18,ProposedLoans!$Z$6:$Z$21,$C23,ProposedLoans!$M$6:$M$21,ProposedLoansWkst!I$2)</f>
        <v>0</v>
      </c>
      <c r="J23" s="760">
        <f>SUMIFS(ProposedLoans!$S$6:$S$21,ProposedLoans!$D$6:$D$21,$C$18,ProposedLoans!$Z$6:$Z$21,"*May*",ProposedLoans!$M$6:$M$21,ProposedLoansWkst!J$2)</f>
        <v>0</v>
      </c>
      <c r="K23" s="760">
        <f>SUMIFS(ProposedLoans!$S$6:$S$21,ProposedLoans!$D$6:$D$21,$C$18,ProposedLoans!$Z$6:$Z$21,"*May*",ProposedLoans!$M$6:$M$21,ProposedLoansWkst!K$2)</f>
        <v>0</v>
      </c>
      <c r="L23" s="760">
        <f>SUMIFS(ProposedLoans!$S$6:$S$21,ProposedLoans!$D$6:$D$21,$C$18,ProposedLoans!$Z$6:$Z$21,"*May*",ProposedLoans!$M$6:$M$21,ProposedLoansWkst!L$2)</f>
        <v>0</v>
      </c>
      <c r="M23" s="760">
        <f>SUMIFS(ProposedLoans!$F$6:$F$21,ProposedLoans!$D$6:$D$21,$C$18,ProposedLoans!$G$6:$G$21,"*May*")</f>
        <v>0</v>
      </c>
      <c r="O23" s="757" t="s">
        <v>3</v>
      </c>
      <c r="P23" s="760">
        <f>SUMIFS(ProposedLoans!$T$6:$T$21,ProposedLoans!$D$6:$D$21,$C$18,ProposedLoans!$Z$6:$Z$21,$C23,ProposedLoans!$M$6:$M$21,ProposedLoansWkst!I$2)</f>
        <v>0</v>
      </c>
      <c r="Q23" s="760">
        <f>SUMIFS(ProposedLoans!$T$6:$T$21,ProposedLoans!$D$6:$D$21,$C$18,ProposedLoans!$Z$6:$Z$21,"*May*",ProposedLoans!$M$6:$M$21,ProposedLoansWkst!Q$2)</f>
        <v>0</v>
      </c>
      <c r="R23" s="760">
        <f>SUMIFS(ProposedLoans!$T$6:$T$21,ProposedLoans!$D$6:$D$21,$C$18,ProposedLoans!$Z$6:$Z$21,"*May*",ProposedLoans!$M$6:$M$21,ProposedLoansWkst!R$2)</f>
        <v>0</v>
      </c>
      <c r="S23" s="760">
        <f>SUMIFS(ProposedLoans!$T$6:$T$21,ProposedLoans!$D$6:$D$21,$C$18,ProposedLoans!$Z$6:$Z$21,"*May*",ProposedLoans!$M$6:$M$21,ProposedLoansWkst!S$2)</f>
        <v>0</v>
      </c>
    </row>
    <row r="24" spans="2:19" x14ac:dyDescent="0.2">
      <c r="B24" s="753" t="s">
        <v>186</v>
      </c>
      <c r="C24" s="761" t="s">
        <v>8</v>
      </c>
      <c r="D24" s="756">
        <f>SUM(ProposedLoansWkst!$I24:$L24)</f>
        <v>0</v>
      </c>
      <c r="E24" s="756">
        <f>SUM(ProposedLoansWkst!$P24:$S24)</f>
        <v>0</v>
      </c>
      <c r="F24" s="756">
        <f>ProposedLoansWkst!$M24</f>
        <v>0</v>
      </c>
      <c r="H24" s="753" t="s">
        <v>8</v>
      </c>
      <c r="I24" s="756">
        <f>SUMIFS(ProposedLoans!$S$6:$S$21,ProposedLoans!$D$6:$D$21,$C$18,ProposedLoans!$Z$6:$Z$21,$C24,ProposedLoans!$M$6:$M$21,ProposedLoansWkst!I$2)</f>
        <v>0</v>
      </c>
      <c r="J24" s="756">
        <f>SUMIFS(ProposedLoans!$S$6:$S$21,ProposedLoans!$D$6:$D$21,$C$18,ProposedLoans!$Z$6:$Z$21,"*Jun*",ProposedLoans!$M$6:$M$21,ProposedLoansWkst!J$2)</f>
        <v>0</v>
      </c>
      <c r="K24" s="756">
        <f>SUMIFS(ProposedLoans!$S$6:$S$21,ProposedLoans!$D$6:$D$21,$C$18,ProposedLoans!$Z$6:$Z$21,"*Jun*",ProposedLoans!$M$6:$M$21,ProposedLoansWkst!K$2)</f>
        <v>0</v>
      </c>
      <c r="L24" s="756">
        <f>SUMIFS(ProposedLoans!$S$6:$S$21,ProposedLoans!$D$6:$D$21,$C$18,ProposedLoans!$Z$6:$Z$21,"*Jun*",ProposedLoans!$M$6:$M$21,ProposedLoansWkst!L$2)</f>
        <v>0</v>
      </c>
      <c r="M24" s="756">
        <f>SUMIFS(ProposedLoans!$F$6:$F$21,ProposedLoans!$D$6:$D$21,$C$18,ProposedLoans!$G$6:$G$21,"*Jun*")</f>
        <v>0</v>
      </c>
      <c r="O24" s="753" t="s">
        <v>8</v>
      </c>
      <c r="P24" s="756">
        <f>SUMIFS(ProposedLoans!$T$6:$T$21,ProposedLoans!$D$6:$D$21,$C$18,ProposedLoans!$Z$6:$Z$21,$C24,ProposedLoans!$M$6:$M$21,ProposedLoansWkst!I$2)</f>
        <v>0</v>
      </c>
      <c r="Q24" s="756">
        <f>SUMIFS(ProposedLoans!$T$6:$T$21,ProposedLoans!$D$6:$D$21,$C$18,ProposedLoans!$Z$6:$Z$21,"*Jun*",ProposedLoans!$M$6:$M$21,ProposedLoansWkst!Q$2)</f>
        <v>0</v>
      </c>
      <c r="R24" s="756">
        <f>SUMIFS(ProposedLoans!$T$6:$T$21,ProposedLoans!$D$6:$D$21,$C$18,ProposedLoans!$Z$6:$Z$21,"*Jun*",ProposedLoans!$M$6:$M$21,ProposedLoansWkst!R$2)</f>
        <v>0</v>
      </c>
      <c r="S24" s="756">
        <f>SUMIFS(ProposedLoans!$T$6:$T$21,ProposedLoans!$D$6:$D$21,$C$18,ProposedLoans!$Z$6:$Z$21,"*Jun*",ProposedLoans!$M$6:$M$21,ProposedLoansWkst!S$2)</f>
        <v>0</v>
      </c>
    </row>
    <row r="25" spans="2:19" x14ac:dyDescent="0.2">
      <c r="B25" s="757" t="s">
        <v>187</v>
      </c>
      <c r="C25" s="758" t="s">
        <v>9</v>
      </c>
      <c r="D25" s="760">
        <f>SUM(ProposedLoansWkst!$I25:$L25)</f>
        <v>0</v>
      </c>
      <c r="E25" s="760">
        <f>SUM(ProposedLoansWkst!$P25:$S25)</f>
        <v>0</v>
      </c>
      <c r="F25" s="760">
        <f>ProposedLoansWkst!$M25</f>
        <v>0</v>
      </c>
      <c r="H25" s="757" t="s">
        <v>9</v>
      </c>
      <c r="I25" s="760">
        <f>SUMIFS(ProposedLoans!$S$6:$S$21,ProposedLoans!$D$6:$D$21,$C$18,ProposedLoans!$Z$6:$Z$21,$C25,ProposedLoans!$M$6:$M$21,ProposedLoansWkst!I$2)</f>
        <v>0</v>
      </c>
      <c r="J25" s="760">
        <f>SUMIFS(ProposedLoans!$S$6:$S$21,ProposedLoans!$D$6:$D$21,$C$18,ProposedLoans!$Z$6:$Z$21,"*Jul*",ProposedLoans!$M$6:$M$21,ProposedLoansWkst!J$2)</f>
        <v>0</v>
      </c>
      <c r="K25" s="760">
        <f>SUMIFS(ProposedLoans!$S$6:$S$21,ProposedLoans!$D$6:$D$21,$C$18,ProposedLoans!$Z$6:$Z$21,"*Jul*",ProposedLoans!$M$6:$M$21,ProposedLoansWkst!K$2)</f>
        <v>0</v>
      </c>
      <c r="L25" s="760">
        <f>SUMIFS(ProposedLoans!$S$6:$S$21,ProposedLoans!$D$6:$D$21,$C$18,ProposedLoans!$Z$6:$Z$21,"*Jul*",ProposedLoans!$M$6:$M$21,ProposedLoansWkst!L$2)</f>
        <v>0</v>
      </c>
      <c r="M25" s="760">
        <f>SUMIFS(ProposedLoans!$F$6:$F$21,ProposedLoans!$D$6:$D$21,$C$18,ProposedLoans!$G$6:$G$21,"*Jul*")</f>
        <v>0</v>
      </c>
      <c r="O25" s="757" t="s">
        <v>9</v>
      </c>
      <c r="P25" s="760">
        <f>SUMIFS(ProposedLoans!$T$6:$T$21,ProposedLoans!$D$6:$D$21,$C$18,ProposedLoans!$Z$6:$Z$21,$C25,ProposedLoans!$M$6:$M$21,ProposedLoansWkst!I$2)</f>
        <v>0</v>
      </c>
      <c r="Q25" s="760">
        <f>SUMIFS(ProposedLoans!$T$6:$T$21,ProposedLoans!$D$6:$D$21,$C$18,ProposedLoans!$Z$6:$Z$21,"*Jul*",ProposedLoans!$M$6:$M$21,ProposedLoansWkst!Q$2)</f>
        <v>0</v>
      </c>
      <c r="R25" s="760">
        <f>SUMIFS(ProposedLoans!$T$6:$T$21,ProposedLoans!$D$6:$D$21,$C$18,ProposedLoans!$Z$6:$Z$21,"*Jul*",ProposedLoans!$M$6:$M$21,ProposedLoansWkst!R$2)</f>
        <v>0</v>
      </c>
      <c r="S25" s="760">
        <f>SUMIFS(ProposedLoans!$T$6:$T$21,ProposedLoans!$D$6:$D$21,$C$18,ProposedLoans!$Z$6:$Z$21,"*Jul*",ProposedLoans!$M$6:$M$21,ProposedLoansWkst!S$2)</f>
        <v>0</v>
      </c>
    </row>
    <row r="26" spans="2:19" x14ac:dyDescent="0.2">
      <c r="B26" s="753" t="s">
        <v>188</v>
      </c>
      <c r="C26" s="761" t="s">
        <v>10</v>
      </c>
      <c r="D26" s="756">
        <f>SUM(ProposedLoansWkst!$I26:$L26)</f>
        <v>0</v>
      </c>
      <c r="E26" s="756">
        <f>SUM(ProposedLoansWkst!$P26:$S26)</f>
        <v>0</v>
      </c>
      <c r="F26" s="756">
        <f>ProposedLoansWkst!$M26</f>
        <v>0</v>
      </c>
      <c r="H26" s="753" t="s">
        <v>10</v>
      </c>
      <c r="I26" s="756">
        <f>SUMIFS(ProposedLoans!$S$6:$S$21,ProposedLoans!$D$6:$D$21,$C$18,ProposedLoans!$Z$6:$Z$21,$C26,ProposedLoans!$M$6:$M$21,ProposedLoansWkst!I$2)</f>
        <v>0</v>
      </c>
      <c r="J26" s="756">
        <f>SUMIFS(ProposedLoans!$S$6:$S$21,ProposedLoans!$D$6:$D$21,$C$18,ProposedLoans!$Z$6:$Z$21,"*Aug*",ProposedLoans!$M$6:$M$21,ProposedLoansWkst!J$2)</f>
        <v>0</v>
      </c>
      <c r="K26" s="756">
        <f>SUMIFS(ProposedLoans!$S$6:$S$21,ProposedLoans!$D$6:$D$21,$C$18,ProposedLoans!$Z$6:$Z$21,"*Aug*",ProposedLoans!$M$6:$M$21,ProposedLoansWkst!K$2)</f>
        <v>0</v>
      </c>
      <c r="L26" s="756">
        <f>SUMIFS(ProposedLoans!$S$6:$S$21,ProposedLoans!$D$6:$D$21,$C$18,ProposedLoans!$Z$6:$Z$21,"*Aug*",ProposedLoans!$M$6:$M$21,ProposedLoansWkst!L$2)</f>
        <v>0</v>
      </c>
      <c r="M26" s="756">
        <f>SUMIFS(ProposedLoans!$F$6:$F$21,ProposedLoans!$D$6:$D$21,$C$18,ProposedLoans!$G$6:$G$21,"*Aug*")</f>
        <v>0</v>
      </c>
      <c r="O26" s="753" t="s">
        <v>10</v>
      </c>
      <c r="P26" s="756">
        <f>SUMIFS(ProposedLoans!$T$6:$T$21,ProposedLoans!$D$6:$D$21,$C$18,ProposedLoans!$Z$6:$Z$21,$C26,ProposedLoans!$M$6:$M$21,ProposedLoansWkst!I$2)</f>
        <v>0</v>
      </c>
      <c r="Q26" s="756">
        <f>SUMIFS(ProposedLoans!$T$6:$T$21,ProposedLoans!$D$6:$D$21,$C$18,ProposedLoans!$Z$6:$Z$21,"*Aug*",ProposedLoans!$M$6:$M$21,ProposedLoansWkst!Q$2)</f>
        <v>0</v>
      </c>
      <c r="R26" s="756">
        <f>SUMIFS(ProposedLoans!$T$6:$T$21,ProposedLoans!$D$6:$D$21,$C$18,ProposedLoans!$Z$6:$Z$21,"*Aug*",ProposedLoans!$M$6:$M$21,ProposedLoansWkst!R$2)</f>
        <v>0</v>
      </c>
      <c r="S26" s="756">
        <f>SUMIFS(ProposedLoans!$T$6:$T$21,ProposedLoans!$D$6:$D$21,$C$18,ProposedLoans!$Z$6:$Z$21,"*Aug*",ProposedLoans!$M$6:$M$21,ProposedLoansWkst!S$2)</f>
        <v>0</v>
      </c>
    </row>
    <row r="27" spans="2:19" x14ac:dyDescent="0.2">
      <c r="B27" s="757" t="s">
        <v>189</v>
      </c>
      <c r="C27" s="758" t="s">
        <v>11</v>
      </c>
      <c r="D27" s="760">
        <f>SUM(ProposedLoansWkst!$I27:$L27)</f>
        <v>0</v>
      </c>
      <c r="E27" s="760">
        <f>SUM(ProposedLoansWkst!$P27:$S27)</f>
        <v>0</v>
      </c>
      <c r="F27" s="760">
        <f>ProposedLoansWkst!$M27</f>
        <v>0</v>
      </c>
      <c r="H27" s="757" t="s">
        <v>11</v>
      </c>
      <c r="I27" s="760">
        <f>SUMIFS(ProposedLoans!$S$6:$S$21,ProposedLoans!$D$6:$D$21,$C$18,ProposedLoans!$Z$6:$Z$21,$C27,ProposedLoans!$M$6:$M$21,ProposedLoansWkst!I$2)</f>
        <v>0</v>
      </c>
      <c r="J27" s="760">
        <f>SUMIFS(ProposedLoans!$S$6:$S$21,ProposedLoans!$D$6:$D$21,$C$18,ProposedLoans!$Z$6:$Z$21,"*Sep*",ProposedLoans!$M$6:$M$21,ProposedLoansWkst!J$2)</f>
        <v>0</v>
      </c>
      <c r="K27" s="760">
        <f>SUMIFS(ProposedLoans!$S$6:$S$21,ProposedLoans!$D$6:$D$21,$C$18,ProposedLoans!$Z$6:$Z$21,"*Sep*",ProposedLoans!$M$6:$M$21,ProposedLoansWkst!K$2)</f>
        <v>0</v>
      </c>
      <c r="L27" s="760">
        <f>SUMIFS(ProposedLoans!$S$6:$S$21,ProposedLoans!$D$6:$D$21,$C$18,ProposedLoans!$Z$6:$Z$21,"*Sep*",ProposedLoans!$M$6:$M$21,ProposedLoansWkst!L$2)</f>
        <v>0</v>
      </c>
      <c r="M27" s="760">
        <f>SUMIFS(ProposedLoans!$F$6:$F$21,ProposedLoans!$D$6:$D$21,$C$18,ProposedLoans!$G$6:$G$21,"*Sep*")</f>
        <v>0</v>
      </c>
      <c r="O27" s="757" t="s">
        <v>11</v>
      </c>
      <c r="P27" s="760">
        <f>SUMIFS(ProposedLoans!$T$6:$T$21,ProposedLoans!$D$6:$D$21,$C$18,ProposedLoans!$Z$6:$Z$21,$C27,ProposedLoans!$M$6:$M$21,ProposedLoansWkst!I$2)</f>
        <v>0</v>
      </c>
      <c r="Q27" s="760">
        <f>SUMIFS(ProposedLoans!$T$6:$T$21,ProposedLoans!$D$6:$D$21,$C$18,ProposedLoans!$Z$6:$Z$21,"*Sep*",ProposedLoans!$M$6:$M$21,ProposedLoansWkst!Q$2)</f>
        <v>0</v>
      </c>
      <c r="R27" s="760">
        <f>SUMIFS(ProposedLoans!$T$6:$T$21,ProposedLoans!$D$6:$D$21,$C$18,ProposedLoans!$Z$6:$Z$21,"*Sep*",ProposedLoans!$M$6:$M$21,ProposedLoansWkst!R$2)</f>
        <v>0</v>
      </c>
      <c r="S27" s="760">
        <f>SUMIFS(ProposedLoans!$T$6:$T$21,ProposedLoans!$D$6:$D$21,$C$18,ProposedLoans!$Z$6:$Z$21,"*Sep*",ProposedLoans!$M$6:$M$21,ProposedLoansWkst!S$2)</f>
        <v>0</v>
      </c>
    </row>
    <row r="28" spans="2:19" x14ac:dyDescent="0.2">
      <c r="B28" s="753" t="s">
        <v>190</v>
      </c>
      <c r="C28" s="761" t="s">
        <v>12</v>
      </c>
      <c r="D28" s="756">
        <f>SUM(ProposedLoansWkst!$I28:$L28)</f>
        <v>0</v>
      </c>
      <c r="E28" s="756">
        <f>SUM(ProposedLoansWkst!$P28:$S28)</f>
        <v>0</v>
      </c>
      <c r="F28" s="756">
        <f>ProposedLoansWkst!$M28</f>
        <v>0</v>
      </c>
      <c r="H28" s="753" t="s">
        <v>12</v>
      </c>
      <c r="I28" s="756">
        <f>SUMIFS(ProposedLoans!$S$6:$S$21,ProposedLoans!$D$6:$D$21,$C$18,ProposedLoans!$Z$6:$Z$21,$C28,ProposedLoans!$M$6:$M$21,ProposedLoansWkst!I$2)</f>
        <v>0</v>
      </c>
      <c r="J28" s="756">
        <f>SUMIFS(ProposedLoans!$S$6:$S$21,ProposedLoans!$D$6:$D$21,$C$18,ProposedLoans!$Z$6:$Z$21,"*Oct*",ProposedLoans!$M$6:$M$21,ProposedLoansWkst!J$2)</f>
        <v>0</v>
      </c>
      <c r="K28" s="756">
        <f>SUMIFS(ProposedLoans!$S$6:$S$21,ProposedLoans!$D$6:$D$21,$C$18,ProposedLoans!$Z$6:$Z$21,"*Oct*",ProposedLoans!$M$6:$M$21,ProposedLoansWkst!K$2)</f>
        <v>0</v>
      </c>
      <c r="L28" s="756">
        <f>SUMIFS(ProposedLoans!$S$6:$S$21,ProposedLoans!$D$6:$D$21,$C$18,ProposedLoans!$Z$6:$Z$21,"*Oct*",ProposedLoans!$M$6:$M$21,ProposedLoansWkst!L$2)</f>
        <v>0</v>
      </c>
      <c r="M28" s="756">
        <f>SUMIFS(ProposedLoans!$F$6:$F$21,ProposedLoans!$D$6:$D$21,$C$18,ProposedLoans!$G$6:$G$21,"*Oct*")</f>
        <v>0</v>
      </c>
      <c r="O28" s="753" t="s">
        <v>12</v>
      </c>
      <c r="P28" s="756">
        <f>SUMIFS(ProposedLoans!$T$6:$T$21,ProposedLoans!$D$6:$D$21,$C$18,ProposedLoans!$Z$6:$Z$21,$C28,ProposedLoans!$M$6:$M$21,ProposedLoansWkst!I$2)</f>
        <v>0</v>
      </c>
      <c r="Q28" s="756">
        <f>SUMIFS(ProposedLoans!$T$6:$T$21,ProposedLoans!$D$6:$D$21,$C$18,ProposedLoans!$Z$6:$Z$21,"*Oct*",ProposedLoans!$M$6:$M$21,ProposedLoansWkst!Q$2)</f>
        <v>0</v>
      </c>
      <c r="R28" s="756">
        <f>SUMIFS(ProposedLoans!$T$6:$T$21,ProposedLoans!$D$6:$D$21,$C$18,ProposedLoans!$Z$6:$Z$21,"*Oct*",ProposedLoans!$M$6:$M$21,ProposedLoansWkst!R$2)</f>
        <v>0</v>
      </c>
      <c r="S28" s="756">
        <f>SUMIFS(ProposedLoans!$T$6:$T$21,ProposedLoans!$D$6:$D$21,$C$18,ProposedLoans!$Z$6:$Z$21,"*Oct*",ProposedLoans!$M$6:$M$21,ProposedLoansWkst!S$2)</f>
        <v>0</v>
      </c>
    </row>
    <row r="29" spans="2:19" x14ac:dyDescent="0.2">
      <c r="B29" s="757" t="s">
        <v>191</v>
      </c>
      <c r="C29" s="758" t="s">
        <v>13</v>
      </c>
      <c r="D29" s="760">
        <f>SUM(ProposedLoansWkst!$I29:$L29)</f>
        <v>0</v>
      </c>
      <c r="E29" s="760">
        <f>SUM(ProposedLoansWkst!$P29:$S29)</f>
        <v>0</v>
      </c>
      <c r="F29" s="760">
        <f>ProposedLoansWkst!$M29</f>
        <v>0</v>
      </c>
      <c r="H29" s="757" t="s">
        <v>13</v>
      </c>
      <c r="I29" s="760">
        <f>SUMIFS(ProposedLoans!$S$6:$S$21,ProposedLoans!$D$6:$D$21,$C$18,ProposedLoans!$Z$6:$Z$21,$C29,ProposedLoans!$M$6:$M$21,ProposedLoansWkst!I$2)</f>
        <v>0</v>
      </c>
      <c r="J29" s="760">
        <f>SUMIFS(ProposedLoans!$S$6:$S$21,ProposedLoans!$D$6:$D$21,$C$18,ProposedLoans!$Z$6:$Z$21,"*Nov*",ProposedLoans!$M$6:$M$21,ProposedLoansWkst!J$2)</f>
        <v>0</v>
      </c>
      <c r="K29" s="760">
        <f>SUMIFS(ProposedLoans!$S$6:$S$21,ProposedLoans!$D$6:$D$21,$C$18,ProposedLoans!$Z$6:$Z$21,"*Nov*",ProposedLoans!$M$6:$M$21,ProposedLoansWkst!K$2)</f>
        <v>0</v>
      </c>
      <c r="L29" s="760">
        <f>SUMIFS(ProposedLoans!$S$6:$S$21,ProposedLoans!$D$6:$D$21,$C$18,ProposedLoans!$Z$6:$Z$21,"*Nov*",ProposedLoans!$M$6:$M$21,ProposedLoansWkst!L$2)</f>
        <v>0</v>
      </c>
      <c r="M29" s="760">
        <f>SUMIFS(ProposedLoans!$F$6:$F$21,ProposedLoans!$D$6:$D$21,$C$18,ProposedLoans!$G$6:$G$21,"*Nov*")</f>
        <v>0</v>
      </c>
      <c r="O29" s="757" t="s">
        <v>13</v>
      </c>
      <c r="P29" s="760">
        <f>SUMIFS(ProposedLoans!$T$6:$T$21,ProposedLoans!$D$6:$D$21,$C$18,ProposedLoans!$Z$6:$Z$21,$C29,ProposedLoans!$M$6:$M$21,ProposedLoansWkst!I$2)</f>
        <v>0</v>
      </c>
      <c r="Q29" s="760">
        <f>SUMIFS(ProposedLoans!$T$6:$T$21,ProposedLoans!$D$6:$D$21,$C$18,ProposedLoans!$Z$6:$Z$21,"*Nov*",ProposedLoans!$M$6:$M$21,ProposedLoansWkst!Q$2)</f>
        <v>0</v>
      </c>
      <c r="R29" s="760">
        <f>SUMIFS(ProposedLoans!$T$6:$T$21,ProposedLoans!$D$6:$D$21,$C$18,ProposedLoans!$Z$6:$Z$21,"*Nov*",ProposedLoans!$M$6:$M$21,ProposedLoansWkst!R$2)</f>
        <v>0</v>
      </c>
      <c r="S29" s="760">
        <f>SUMIFS(ProposedLoans!$T$6:$T$21,ProposedLoans!$D$6:$D$21,$C$18,ProposedLoans!$Z$6:$Z$21,"*Nov*",ProposedLoans!$M$6:$M$21,ProposedLoansWkst!S$2)</f>
        <v>0</v>
      </c>
    </row>
    <row r="30" spans="2:19" ht="13.5" thickBot="1" x14ac:dyDescent="0.25">
      <c r="B30" s="753" t="s">
        <v>192</v>
      </c>
      <c r="C30" s="761" t="s">
        <v>14</v>
      </c>
      <c r="D30" s="756">
        <f>SUM(ProposedLoansWkst!$I30:$L30)</f>
        <v>0</v>
      </c>
      <c r="E30" s="756">
        <f>SUM(ProposedLoansWkst!$P30:$S30)</f>
        <v>0</v>
      </c>
      <c r="F30" s="756">
        <f>ProposedLoansWkst!$M30</f>
        <v>0</v>
      </c>
      <c r="H30" s="753" t="s">
        <v>14</v>
      </c>
      <c r="I30" s="756">
        <f>SUMIFS(ProposedLoans!$S$6:$S$21,ProposedLoans!$D$6:$D$21,$C$18,ProposedLoans!$Z$6:$Z$21,$C30,ProposedLoans!$M$6:$M$21,ProposedLoansWkst!I$2)</f>
        <v>0</v>
      </c>
      <c r="J30" s="756">
        <f>SUMIFS(ProposedLoans!$S$6:$S$21,ProposedLoans!$D$6:$D$21,$C$18,ProposedLoans!$Z$6:$Z$21,"*Dec*",ProposedLoans!$M$6:$M$21,ProposedLoansWkst!J$2)</f>
        <v>0</v>
      </c>
      <c r="K30" s="756">
        <f>SUMIFS(ProposedLoans!$S$6:$S$21,ProposedLoans!$D$6:$D$21,$C$18,ProposedLoans!$Z$6:$Z$21,"*Dec*",ProposedLoans!$M$6:$M$21,ProposedLoansWkst!K$2)</f>
        <v>0</v>
      </c>
      <c r="L30" s="756">
        <f>SUMIFS(ProposedLoans!$S$6:$S$21,ProposedLoans!$D$6:$D$21,$C$18,ProposedLoans!$Z$6:$Z$21,"*Dec*",ProposedLoans!$M$6:$M$21,ProposedLoansWkst!L$2)</f>
        <v>0</v>
      </c>
      <c r="M30" s="756">
        <f>SUMIFS(ProposedLoans!$F$6:$F$21,ProposedLoans!$D$6:$D$21,$C$18,ProposedLoans!$G$6:$G$21,"*Dec*")</f>
        <v>0</v>
      </c>
      <c r="O30" s="753" t="s">
        <v>14</v>
      </c>
      <c r="P30" s="756">
        <f>SUMIFS(ProposedLoans!$T$6:$T$21,ProposedLoans!$D$6:$D$21,$C$18,ProposedLoans!$Z$6:$Z$21,$C30,ProposedLoans!$M$6:$M$21,ProposedLoansWkst!I$2)</f>
        <v>0</v>
      </c>
      <c r="Q30" s="756">
        <f>SUMIFS(ProposedLoans!$T$6:$T$21,ProposedLoans!$D$6:$D$21,$C$18,ProposedLoans!$Z$6:$Z$21,"*Dec*",ProposedLoans!$M$6:$M$21,ProposedLoansWkst!Q$2)</f>
        <v>0</v>
      </c>
      <c r="R30" s="756">
        <f>SUMIFS(ProposedLoans!$T$6:$T$21,ProposedLoans!$D$6:$D$21,$C$18,ProposedLoans!$Z$6:$Z$21,"*Dec*",ProposedLoans!$M$6:$M$21,ProposedLoansWkst!R$2)</f>
        <v>0</v>
      </c>
      <c r="S30" s="756">
        <f>SUMIFS(ProposedLoans!$T$6:$T$21,ProposedLoans!$D$6:$D$21,$C$18,ProposedLoans!$Z$6:$Z$21,"*Dec*",ProposedLoans!$M$6:$M$21,ProposedLoansWkst!S$2)</f>
        <v>0</v>
      </c>
    </row>
    <row r="31" spans="2:19" ht="13.5" thickTop="1" x14ac:dyDescent="0.2">
      <c r="B31" s="762"/>
      <c r="C31" s="763"/>
      <c r="D31" s="764">
        <f>SUM(ProposedLoansWkst!$D$19:$D$30)</f>
        <v>0</v>
      </c>
      <c r="E31" s="746">
        <f>SUM(ProposedLoansWkst!$E$19:$E$30)</f>
        <v>0</v>
      </c>
      <c r="F31" s="745">
        <f>SUM(ProposedLoansWkst!$F$19:$F$30)</f>
        <v>0</v>
      </c>
      <c r="H31" s="767"/>
      <c r="I31" s="746">
        <f>SUM(ProposedLoansWkst!$I$19:$I$30)</f>
        <v>0</v>
      </c>
      <c r="J31" s="746">
        <f>SUM(ProposedLoansWkst!$J$19:$J$30)</f>
        <v>0</v>
      </c>
      <c r="K31" s="746">
        <f>SUM(ProposedLoansWkst!$K$19:$K$30)</f>
        <v>0</v>
      </c>
      <c r="L31" s="746">
        <f>SUM(ProposedLoansWkst!$L$19:$L$30)</f>
        <v>0</v>
      </c>
      <c r="M31" s="746">
        <f>SUM(ProposedLoansWkst!$M$19:$M$30)</f>
        <v>0</v>
      </c>
      <c r="O31" s="767"/>
      <c r="P31" s="746">
        <f>SUM(ProposedLoansWkst!$P$19:$P$30)</f>
        <v>0</v>
      </c>
      <c r="Q31" s="746">
        <f>SUM(ProposedLoansWkst!$Q$19:$Q$30)</f>
        <v>0</v>
      </c>
      <c r="R31" s="746">
        <f>SUM(ProposedLoansWkst!$R$19:$R$30)</f>
        <v>0</v>
      </c>
      <c r="S31" s="746">
        <f>SUM(ProposedLoansWkst!$S$19:$S$30)</f>
        <v>0</v>
      </c>
    </row>
    <row r="33" spans="2:19" x14ac:dyDescent="0.2">
      <c r="H33" s="57" t="s">
        <v>202</v>
      </c>
    </row>
    <row r="34" spans="2:19" ht="13.5" thickBot="1" x14ac:dyDescent="0.25">
      <c r="B34" s="747" t="s">
        <v>125</v>
      </c>
      <c r="C34" s="748" t="s">
        <v>174</v>
      </c>
      <c r="D34" s="748" t="s">
        <v>175</v>
      </c>
      <c r="E34" s="748" t="s">
        <v>176</v>
      </c>
      <c r="F34" s="748" t="s">
        <v>209</v>
      </c>
      <c r="H34" s="747" t="s">
        <v>196</v>
      </c>
      <c r="I34" s="748" t="s">
        <v>104</v>
      </c>
      <c r="J34" s="748" t="s">
        <v>102</v>
      </c>
      <c r="K34" s="748" t="s">
        <v>100</v>
      </c>
      <c r="L34" s="748" t="s">
        <v>99</v>
      </c>
      <c r="M34" s="748" t="s">
        <v>209</v>
      </c>
      <c r="N34" s="57"/>
      <c r="O34" s="747" t="s">
        <v>196</v>
      </c>
      <c r="P34" s="768" t="s">
        <v>104</v>
      </c>
      <c r="Q34" s="768" t="s">
        <v>102</v>
      </c>
      <c r="R34" s="768" t="s">
        <v>100</v>
      </c>
      <c r="S34" s="768" t="s">
        <v>99</v>
      </c>
    </row>
    <row r="35" spans="2:19" ht="13.5" thickTop="1" x14ac:dyDescent="0.2">
      <c r="B35" s="749" t="s">
        <v>182</v>
      </c>
      <c r="C35" s="750" t="s">
        <v>4</v>
      </c>
      <c r="D35" s="751">
        <f>SUM(ProposedLoansWkst!$I35:$L35)+ProposedLoansWkst!$E35</f>
        <v>0</v>
      </c>
      <c r="E35" s="752">
        <f>SUM(ProposedLoansWkst!$P35:$S35)</f>
        <v>0</v>
      </c>
      <c r="F35" s="752">
        <f>SUM(ProposedLoansWkst!$M35)</f>
        <v>0</v>
      </c>
      <c r="H35" s="765" t="s">
        <v>4</v>
      </c>
      <c r="I35" s="751">
        <f>SUMIFS(ProposedLoans!$S$6:$S$21,ProposedLoans!$D$6:$D$21,$C$34,ProposedLoans!$Z$6:$Z$21,$C35,ProposedLoans!$M$6:$M$21,ProposedLoansWkst!I$2)</f>
        <v>0</v>
      </c>
      <c r="J35" s="752">
        <f>SUMIFS(ProposedLoans!$S$6:$S$21,ProposedLoans!$D$6:$D$21,$C$34,ProposedLoans!$Z$6:$Z$21,"*Jan*",ProposedLoans!$M$6:$M$21,ProposedLoansWkst!J$2)</f>
        <v>0</v>
      </c>
      <c r="K35" s="752">
        <f>SUMIFS(ProposedLoans!$S$6:$S$21,ProposedLoans!$D$6:$D$21,$C$34,ProposedLoans!$Z$6:$Z$21,"*Jan*",ProposedLoans!$M$6:$M$21,ProposedLoansWkst!K$2)</f>
        <v>0</v>
      </c>
      <c r="L35" s="752">
        <f>SUMIFS(ProposedLoans!$S$6:$S$21,ProposedLoans!$D$6:$D$21,$C$34,ProposedLoans!$Z$6:$Z$21,"*Jan*",ProposedLoans!$M$6:$M$21,ProposedLoansWkst!L$2)</f>
        <v>0</v>
      </c>
      <c r="M35" s="752">
        <f>SUMIFS(ProposedLoans!$F$6:$F$21,ProposedLoans!$D$6:$D$21,$C$34,ProposedLoans!$G$6:$G$21,"*Jan*")</f>
        <v>0</v>
      </c>
      <c r="O35" s="765" t="s">
        <v>4</v>
      </c>
      <c r="P35" s="752">
        <f>SUMIFS(ProposedLoans!$T$6:$T$21,ProposedLoans!$D$6:$D$21,$C$34,ProposedLoans!$Z$6:$Z$21,$C35,ProposedLoans!$M$6:$M$21,ProposedLoansWkst!I$2)</f>
        <v>0</v>
      </c>
      <c r="Q35" s="752">
        <f>SUMIFS(ProposedLoans!$T$6:$T$21,ProposedLoans!$D$6:$D$21,$C$34,ProposedLoans!$Z$6:$Z$21,"*Jan*",ProposedLoans!$M$6:$M$21,ProposedLoansWkst!Q$2)</f>
        <v>0</v>
      </c>
      <c r="R35" s="752">
        <f>SUMIFS(ProposedLoans!$T$6:$T$21,ProposedLoans!$D$6:$D$21,$C$34,ProposedLoans!$Z$6:$Z$21,"*Jan*",ProposedLoans!$M$6:$M$21,ProposedLoansWkst!R$2)</f>
        <v>0</v>
      </c>
      <c r="S35" s="752">
        <f>SUMIFS(ProposedLoans!$T$6:$T$21,ProposedLoans!$D$6:$D$21,$C$34,ProposedLoans!$Z$6:$Z$21,"*Jan*",ProposedLoans!$M$6:$M$21,ProposedLoansWkst!S$2)</f>
        <v>0</v>
      </c>
    </row>
    <row r="36" spans="2:19" x14ac:dyDescent="0.2">
      <c r="B36" s="753" t="s">
        <v>183</v>
      </c>
      <c r="C36" s="754" t="s">
        <v>5</v>
      </c>
      <c r="D36" s="755">
        <f>SUM(ProposedLoansWkst!$I36:$L36)+ProposedLoansWkst!$E36</f>
        <v>0</v>
      </c>
      <c r="E36" s="756">
        <f>SUM(ProposedLoansWkst!$P36:$S36)</f>
        <v>0</v>
      </c>
      <c r="F36" s="756">
        <f>SUM(ProposedLoansWkst!$M36)</f>
        <v>0</v>
      </c>
      <c r="H36" s="766" t="s">
        <v>5</v>
      </c>
      <c r="I36" s="755">
        <f>SUMIFS(ProposedLoans!$S$6:$S$21,ProposedLoans!$D$6:$D$21,$C$34,ProposedLoans!$Z$6:$Z$21,$C36,ProposedLoans!$M$6:$M$21,ProposedLoansWkst!I$2)</f>
        <v>0</v>
      </c>
      <c r="J36" s="756">
        <f>SUMIFS(ProposedLoans!$S$6:$S$21,ProposedLoans!$D$6:$D$21,$C$34,ProposedLoans!$Z$6:$Z$21,"*Feb*",ProposedLoans!$M$6:$M$21,ProposedLoansWkst!J$2)</f>
        <v>0</v>
      </c>
      <c r="K36" s="756">
        <f>SUMIFS(ProposedLoans!$S$6:$S$21,ProposedLoans!$D$6:$D$21,$C$34,ProposedLoans!$Z$6:$Z$21,"*Feb*",ProposedLoans!$M$6:$M$21,ProposedLoansWkst!K$2)</f>
        <v>0</v>
      </c>
      <c r="L36" s="756">
        <f>SUMIFS(ProposedLoans!$S$6:$S$21,ProposedLoans!$D$6:$D$21,$C$34,ProposedLoans!$Z$6:$Z$21,"*Feb*",ProposedLoans!$M$6:$M$21,ProposedLoansWkst!L$2)</f>
        <v>0</v>
      </c>
      <c r="M36" s="756">
        <f>SUMIFS(ProposedLoans!$F$6:$F$21,ProposedLoans!$D$6:$D$21,$C$34,ProposedLoans!$G$6:$G$21,"*Feb*")</f>
        <v>0</v>
      </c>
      <c r="O36" s="766" t="s">
        <v>5</v>
      </c>
      <c r="P36" s="756">
        <f>SUMIFS(ProposedLoans!$T$6:$T$21,ProposedLoans!$D$6:$D$21,$C$34,ProposedLoans!$Z$6:$Z$21,$C36,ProposedLoans!$M$6:$M$21,ProposedLoansWkst!I$2)</f>
        <v>0</v>
      </c>
      <c r="Q36" s="756">
        <f>SUMIFS(ProposedLoans!$T$6:$T$21,ProposedLoans!$D$6:$D$21,$C$34,ProposedLoans!$Z$6:$Z$21,"*Feb*",ProposedLoans!$M$6:$M$21,ProposedLoansWkst!Q$2)</f>
        <v>0</v>
      </c>
      <c r="R36" s="756">
        <f>SUMIFS(ProposedLoans!$T$6:$T$21,ProposedLoans!$D$6:$D$21,$C$34,ProposedLoans!$Z$6:$Z$21,"*Feb*",ProposedLoans!$M$6:$M$21,ProposedLoansWkst!R$2)</f>
        <v>0</v>
      </c>
      <c r="S36" s="756">
        <f>SUMIFS(ProposedLoans!$T$6:$T$21,ProposedLoans!$D$6:$D$21,$C$34,ProposedLoans!$Z$6:$Z$21,"*Feb*",ProposedLoans!$M$6:$M$21,ProposedLoansWkst!S$2)</f>
        <v>0</v>
      </c>
    </row>
    <row r="37" spans="2:19" x14ac:dyDescent="0.2">
      <c r="B37" s="757" t="s">
        <v>184</v>
      </c>
      <c r="C37" s="758" t="s">
        <v>6</v>
      </c>
      <c r="D37" s="759">
        <f>SUM(ProposedLoansWkst!$I37:$L37)+ProposedLoansWkst!$E37</f>
        <v>0</v>
      </c>
      <c r="E37" s="760">
        <f>SUM(ProposedLoansWkst!$P37:$S37)</f>
        <v>0</v>
      </c>
      <c r="F37" s="760">
        <f>SUM(ProposedLoansWkst!$M37)</f>
        <v>0</v>
      </c>
      <c r="H37" s="757" t="s">
        <v>6</v>
      </c>
      <c r="I37" s="759">
        <f>SUMIFS(ProposedLoans!$S$6:$S$21,ProposedLoans!$D$6:$D$21,$C$34,ProposedLoans!$Z$6:$Z$21,$C37,ProposedLoans!$M$6:$M$21,ProposedLoansWkst!I$2)</f>
        <v>0</v>
      </c>
      <c r="J37" s="760">
        <f>SUMIFS(ProposedLoans!$S$6:$S$21,ProposedLoans!$D$6:$D$21,$C$34,ProposedLoans!$Z$6:$Z$21,"*Mar*",ProposedLoans!$M$6:$M$21,ProposedLoansWkst!J$2)</f>
        <v>0</v>
      </c>
      <c r="K37" s="760">
        <f>SUMIFS(ProposedLoans!$S$6:$S$21,ProposedLoans!$D$6:$D$21,$C$34,ProposedLoans!$Z$6:$Z$21,"*Mar*",ProposedLoans!$M$6:$M$21,ProposedLoansWkst!K$2)</f>
        <v>0</v>
      </c>
      <c r="L37" s="760">
        <f>SUMIFS(ProposedLoans!$S$6:$S$21,ProposedLoans!$D$6:$D$21,$C$34,ProposedLoans!$Z$6:$Z$21,"*Mar*",ProposedLoans!$M$6:$M$21,ProposedLoansWkst!L$2)</f>
        <v>0</v>
      </c>
      <c r="M37" s="760">
        <f>SUMIFS(ProposedLoans!$F$6:$F$21,ProposedLoans!$D$6:$D$21,$C$34,ProposedLoans!$G$6:$G$21,"*Mar*")</f>
        <v>0</v>
      </c>
      <c r="O37" s="757" t="s">
        <v>6</v>
      </c>
      <c r="P37" s="760">
        <f>SUMIFS(ProposedLoans!$T$6:$T$21,ProposedLoans!$D$6:$D$21,$C$34,ProposedLoans!$Z$6:$Z$21,$C37,ProposedLoans!$M$6:$M$21,ProposedLoansWkst!I$2)</f>
        <v>0</v>
      </c>
      <c r="Q37" s="760">
        <f>SUMIFS(ProposedLoans!$T$6:$T$21,ProposedLoans!$D$6:$D$21,$C$34,ProposedLoans!$Z$6:$Z$21,"*Mar*",ProposedLoans!$M$6:$M$21,ProposedLoansWkst!Q$2)</f>
        <v>0</v>
      </c>
      <c r="R37" s="760">
        <f>SUMIFS(ProposedLoans!$T$6:$T$21,ProposedLoans!$D$6:$D$21,$C$34,ProposedLoans!$Z$6:$Z$21,"*Mar*",ProposedLoans!$M$6:$M$21,ProposedLoansWkst!R$2)</f>
        <v>0</v>
      </c>
      <c r="S37" s="760">
        <f>SUMIFS(ProposedLoans!$T$6:$T$21,ProposedLoans!$D$6:$D$21,$C$34,ProposedLoans!$Z$6:$Z$21,"*Mar*",ProposedLoans!$M$6:$M$21,ProposedLoansWkst!S$2)</f>
        <v>0</v>
      </c>
    </row>
    <row r="38" spans="2:19" x14ac:dyDescent="0.2">
      <c r="B38" s="753" t="s">
        <v>185</v>
      </c>
      <c r="C38" s="761" t="s">
        <v>7</v>
      </c>
      <c r="D38" s="755">
        <f>SUM(ProposedLoansWkst!$I38:$L38)+ProposedLoansWkst!$E38</f>
        <v>0</v>
      </c>
      <c r="E38" s="756">
        <f>SUM(ProposedLoansWkst!$P38:$S38)</f>
        <v>0</v>
      </c>
      <c r="F38" s="756">
        <f>SUM(ProposedLoansWkst!$M38)</f>
        <v>0</v>
      </c>
      <c r="H38" s="753" t="s">
        <v>7</v>
      </c>
      <c r="I38" s="755">
        <f>SUMIFS(ProposedLoans!$S$6:$S$21,ProposedLoans!$D$6:$D$21,$C$34,ProposedLoans!$Z$6:$Z$21,$C38,ProposedLoans!$M$6:$M$21,ProposedLoansWkst!I$2)</f>
        <v>0</v>
      </c>
      <c r="J38" s="756">
        <f>SUMIFS(ProposedLoans!$S$6:$S$21,ProposedLoans!$D$6:$D$21,$C$34,ProposedLoans!$Z$6:$Z$21,"*Apr*",ProposedLoans!$M$6:$M$21,ProposedLoansWkst!J$2)</f>
        <v>0</v>
      </c>
      <c r="K38" s="756">
        <f>SUMIFS(ProposedLoans!$S$6:$S$21,ProposedLoans!$D$6:$D$21,$C$34,ProposedLoans!$Z$6:$Z$21,"*Apr*",ProposedLoans!$M$6:$M$21,ProposedLoansWkst!K$2)</f>
        <v>0</v>
      </c>
      <c r="L38" s="756">
        <f>SUMIFS(ProposedLoans!$S$6:$S$21,ProposedLoans!$D$6:$D$21,$C$34,ProposedLoans!$Z$6:$Z$21,"*Apr*",ProposedLoans!$M$6:$M$21,ProposedLoansWkst!L$2)</f>
        <v>0</v>
      </c>
      <c r="M38" s="756">
        <f>SUMIFS(ProposedLoans!$F$6:$F$21,ProposedLoans!$D$6:$D$21,$C$34,ProposedLoans!$G$6:$G$21,"*Apr*")</f>
        <v>0</v>
      </c>
      <c r="O38" s="753" t="s">
        <v>7</v>
      </c>
      <c r="P38" s="756">
        <f>SUMIFS(ProposedLoans!$T$6:$T$21,ProposedLoans!$D$6:$D$21,$C$34,ProposedLoans!$Z$6:$Z$21,$C38,ProposedLoans!$M$6:$M$21,ProposedLoansWkst!I$2)</f>
        <v>0</v>
      </c>
      <c r="Q38" s="756">
        <f>SUMIFS(ProposedLoans!$T$6:$T$21,ProposedLoans!$D$6:$D$21,$C$34,ProposedLoans!$Z$6:$Z$21,"*Apr*",ProposedLoans!$M$6:$M$21,ProposedLoansWkst!Q$2)</f>
        <v>0</v>
      </c>
      <c r="R38" s="756">
        <f>SUMIFS(ProposedLoans!$T$6:$T$21,ProposedLoans!$D$6:$D$21,$C$34,ProposedLoans!$Z$6:$Z$21,"*Apr*",ProposedLoans!$M$6:$M$21,ProposedLoansWkst!R$2)</f>
        <v>0</v>
      </c>
      <c r="S38" s="756">
        <f>SUMIFS(ProposedLoans!$T$6:$T$21,ProposedLoans!$D$6:$D$21,$C$34,ProposedLoans!$Z$6:$Z$21,"*Apr*",ProposedLoans!$M$6:$M$21,ProposedLoansWkst!S$2)</f>
        <v>0</v>
      </c>
    </row>
    <row r="39" spans="2:19" x14ac:dyDescent="0.2">
      <c r="B39" s="757" t="s">
        <v>3</v>
      </c>
      <c r="C39" s="758" t="s">
        <v>3</v>
      </c>
      <c r="D39" s="759">
        <f>SUM(ProposedLoansWkst!$I39:$L39)+ProposedLoansWkst!$E39</f>
        <v>0</v>
      </c>
      <c r="E39" s="760">
        <f>SUM(ProposedLoansWkst!$P39:$S39)</f>
        <v>0</v>
      </c>
      <c r="F39" s="760">
        <f>SUM(ProposedLoansWkst!$M39)</f>
        <v>0</v>
      </c>
      <c r="H39" s="757" t="s">
        <v>3</v>
      </c>
      <c r="I39" s="759">
        <f>SUMIFS(ProposedLoans!$S$6:$S$21,ProposedLoans!$D$6:$D$21,$C$34,ProposedLoans!$Z$6:$Z$21,$C39,ProposedLoans!$M$6:$M$21,ProposedLoansWkst!I$2)</f>
        <v>0</v>
      </c>
      <c r="J39" s="760">
        <f>SUMIFS(ProposedLoans!$S$6:$S$21,ProposedLoans!$D$6:$D$21,$C$34,ProposedLoans!$Z$6:$Z$21,"*May*",ProposedLoans!$M$6:$M$21,ProposedLoansWkst!J$2)</f>
        <v>0</v>
      </c>
      <c r="K39" s="760">
        <f>SUMIFS(ProposedLoans!$S$6:$S$21,ProposedLoans!$D$6:$D$21,$C$34,ProposedLoans!$Z$6:$Z$21,"*May*",ProposedLoans!$M$6:$M$21,ProposedLoansWkst!K$2)</f>
        <v>0</v>
      </c>
      <c r="L39" s="760">
        <f>SUMIFS(ProposedLoans!$S$6:$S$21,ProposedLoans!$D$6:$D$21,$C$34,ProposedLoans!$Z$6:$Z$21,"*May*",ProposedLoans!$M$6:$M$21,ProposedLoansWkst!L$2)</f>
        <v>0</v>
      </c>
      <c r="M39" s="760">
        <f>SUMIFS(ProposedLoans!$F$6:$F$21,ProposedLoans!$D$6:$D$21,$C$34,ProposedLoans!$G$6:$G$21,"*May*")</f>
        <v>0</v>
      </c>
      <c r="O39" s="757" t="s">
        <v>3</v>
      </c>
      <c r="P39" s="760">
        <f>SUMIFS(ProposedLoans!$T$6:$T$21,ProposedLoans!$D$6:$D$21,$C$34,ProposedLoans!$Z$6:$Z$21,$C39,ProposedLoans!$M$6:$M$21,ProposedLoansWkst!I$2)</f>
        <v>0</v>
      </c>
      <c r="Q39" s="760">
        <f>SUMIFS(ProposedLoans!$T$6:$T$21,ProposedLoans!$D$6:$D$21,$C$34,ProposedLoans!$Z$6:$Z$21,"*May*",ProposedLoans!$M$6:$M$21,ProposedLoansWkst!Q$2)</f>
        <v>0</v>
      </c>
      <c r="R39" s="760">
        <f>SUMIFS(ProposedLoans!$T$6:$T$21,ProposedLoans!$D$6:$D$21,$C$34,ProposedLoans!$Z$6:$Z$21,"*May*",ProposedLoans!$M$6:$M$21,ProposedLoansWkst!R$2)</f>
        <v>0</v>
      </c>
      <c r="S39" s="760">
        <f>SUMIFS(ProposedLoans!$T$6:$T$21,ProposedLoans!$D$6:$D$21,$C$34,ProposedLoans!$Z$6:$Z$21,"*May*",ProposedLoans!$M$6:$M$21,ProposedLoansWkst!S$2)</f>
        <v>0</v>
      </c>
    </row>
    <row r="40" spans="2:19" x14ac:dyDescent="0.2">
      <c r="B40" s="753" t="s">
        <v>186</v>
      </c>
      <c r="C40" s="761" t="s">
        <v>8</v>
      </c>
      <c r="D40" s="755">
        <f>SUM(ProposedLoansWkst!$I40:$L40)+ProposedLoansWkst!$E40</f>
        <v>0</v>
      </c>
      <c r="E40" s="756">
        <f>SUM(ProposedLoansWkst!$P40:$S40)</f>
        <v>0</v>
      </c>
      <c r="F40" s="756">
        <f>SUM(ProposedLoansWkst!$M40)</f>
        <v>0</v>
      </c>
      <c r="H40" s="753" t="s">
        <v>8</v>
      </c>
      <c r="I40" s="755">
        <f>SUMIFS(ProposedLoans!$S$6:$S$21,ProposedLoans!$D$6:$D$21,$C$34,ProposedLoans!$Z$6:$Z$21,$C40,ProposedLoans!$M$6:$M$21,ProposedLoansWkst!I$2)</f>
        <v>0</v>
      </c>
      <c r="J40" s="756">
        <f>SUMIFS(ProposedLoans!$S$6:$S$21,ProposedLoans!$D$6:$D$21,$C$34,ProposedLoans!$Z$6:$Z$21,"*Jun*",ProposedLoans!$M$6:$M$21,ProposedLoansWkst!J$2)</f>
        <v>0</v>
      </c>
      <c r="K40" s="756">
        <f>SUMIFS(ProposedLoans!$S$6:$S$21,ProposedLoans!$D$6:$D$21,$C$34,ProposedLoans!$Z$6:$Z$21,"*Jun*",ProposedLoans!$M$6:$M$21,ProposedLoansWkst!K$2)</f>
        <v>0</v>
      </c>
      <c r="L40" s="756">
        <f>SUMIFS(ProposedLoans!$S$6:$S$21,ProposedLoans!$D$6:$D$21,$C$34,ProposedLoans!$Z$6:$Z$21,"*Jun*",ProposedLoans!$M$6:$M$21,ProposedLoansWkst!L$2)</f>
        <v>0</v>
      </c>
      <c r="M40" s="756">
        <f>SUMIFS(ProposedLoans!$F$6:$F$21,ProposedLoans!$D$6:$D$21,$C$34,ProposedLoans!$G$6:$G$21,"*Jun*")</f>
        <v>0</v>
      </c>
      <c r="O40" s="753" t="s">
        <v>8</v>
      </c>
      <c r="P40" s="756">
        <f>SUMIFS(ProposedLoans!$T$6:$T$21,ProposedLoans!$D$6:$D$21,$C$34,ProposedLoans!$Z$6:$Z$21,$C40,ProposedLoans!$M$6:$M$21,ProposedLoansWkst!I$2)</f>
        <v>0</v>
      </c>
      <c r="Q40" s="756">
        <f>SUMIFS(ProposedLoans!$T$6:$T$21,ProposedLoans!$D$6:$D$21,$C$34,ProposedLoans!$Z$6:$Z$21,"*Jun*",ProposedLoans!$M$6:$M$21,ProposedLoansWkst!Q$2)</f>
        <v>0</v>
      </c>
      <c r="R40" s="756">
        <f>SUMIFS(ProposedLoans!$T$6:$T$21,ProposedLoans!$D$6:$D$21,$C$34,ProposedLoans!$Z$6:$Z$21,"*Jun*",ProposedLoans!$M$6:$M$21,ProposedLoansWkst!R$2)</f>
        <v>0</v>
      </c>
      <c r="S40" s="756">
        <f>SUMIFS(ProposedLoans!$T$6:$T$21,ProposedLoans!$D$6:$D$21,$C$34,ProposedLoans!$Z$6:$Z$21,"*Jun*",ProposedLoans!$M$6:$M$21,ProposedLoansWkst!S$2)</f>
        <v>0</v>
      </c>
    </row>
    <row r="41" spans="2:19" x14ac:dyDescent="0.2">
      <c r="B41" s="757" t="s">
        <v>187</v>
      </c>
      <c r="C41" s="758" t="s">
        <v>9</v>
      </c>
      <c r="D41" s="759">
        <f>SUM(ProposedLoansWkst!$I41:$L41)+ProposedLoansWkst!$E41</f>
        <v>0</v>
      </c>
      <c r="E41" s="760">
        <f>SUM(ProposedLoansWkst!$P41:$S41)</f>
        <v>0</v>
      </c>
      <c r="F41" s="760">
        <f>SUM(ProposedLoansWkst!$M41)</f>
        <v>0</v>
      </c>
      <c r="H41" s="757" t="s">
        <v>9</v>
      </c>
      <c r="I41" s="759">
        <f>SUMIFS(ProposedLoans!$S$6:$S$21,ProposedLoans!$D$6:$D$21,$C$34,ProposedLoans!$Z$6:$Z$21,$C41,ProposedLoans!$M$6:$M$21,ProposedLoansWkst!I$2)</f>
        <v>0</v>
      </c>
      <c r="J41" s="760">
        <f>SUMIFS(ProposedLoans!$S$6:$S$21,ProposedLoans!$D$6:$D$21,$C$34,ProposedLoans!$Z$6:$Z$21,"*Jul*",ProposedLoans!$M$6:$M$21,ProposedLoansWkst!J$2)</f>
        <v>0</v>
      </c>
      <c r="K41" s="760">
        <f>SUMIFS(ProposedLoans!$S$6:$S$21,ProposedLoans!$D$6:$D$21,$C$34,ProposedLoans!$Z$6:$Z$21,"*Jul*",ProposedLoans!$M$6:$M$21,ProposedLoansWkst!K$2)</f>
        <v>0</v>
      </c>
      <c r="L41" s="760">
        <f>SUMIFS(ProposedLoans!$S$6:$S$21,ProposedLoans!$D$6:$D$21,$C$34,ProposedLoans!$Z$6:$Z$21,"*Jul*",ProposedLoans!$M$6:$M$21,ProposedLoansWkst!L$2)</f>
        <v>0</v>
      </c>
      <c r="M41" s="760">
        <f>SUMIFS(ProposedLoans!$F$6:$F$21,ProposedLoans!$D$6:$D$21,$C$34,ProposedLoans!$G$6:$G$21,"*Jul*")</f>
        <v>0</v>
      </c>
      <c r="O41" s="757" t="s">
        <v>9</v>
      </c>
      <c r="P41" s="760">
        <f>SUMIFS(ProposedLoans!$T$6:$T$21,ProposedLoans!$D$6:$D$21,$C$34,ProposedLoans!$Z$6:$Z$21,$C41,ProposedLoans!$M$6:$M$21,ProposedLoansWkst!I$2)</f>
        <v>0</v>
      </c>
      <c r="Q41" s="760">
        <f>SUMIFS(ProposedLoans!$T$6:$T$21,ProposedLoans!$D$6:$D$21,$C$34,ProposedLoans!$Z$6:$Z$21,"*Jul*",ProposedLoans!$M$6:$M$21,ProposedLoansWkst!Q$2)</f>
        <v>0</v>
      </c>
      <c r="R41" s="760">
        <f>SUMIFS(ProposedLoans!$T$6:$T$21,ProposedLoans!$D$6:$D$21,$C$34,ProposedLoans!$Z$6:$Z$21,"*Jul*",ProposedLoans!$M$6:$M$21,ProposedLoansWkst!R$2)</f>
        <v>0</v>
      </c>
      <c r="S41" s="760">
        <f>SUMIFS(ProposedLoans!$T$6:$T$21,ProposedLoans!$D$6:$D$21,$C$34,ProposedLoans!$Z$6:$Z$21,"*Jul*",ProposedLoans!$M$6:$M$21,ProposedLoansWkst!S$2)</f>
        <v>0</v>
      </c>
    </row>
    <row r="42" spans="2:19" x14ac:dyDescent="0.2">
      <c r="B42" s="753" t="s">
        <v>188</v>
      </c>
      <c r="C42" s="761" t="s">
        <v>10</v>
      </c>
      <c r="D42" s="755">
        <f>SUM(ProposedLoansWkst!$I42:$L42)+ProposedLoansWkst!$E42</f>
        <v>0</v>
      </c>
      <c r="E42" s="756">
        <f>SUM(ProposedLoansWkst!$P42:$S42)</f>
        <v>0</v>
      </c>
      <c r="F42" s="756">
        <f>SUM(ProposedLoansWkst!$M42)</f>
        <v>0</v>
      </c>
      <c r="H42" s="753" t="s">
        <v>10</v>
      </c>
      <c r="I42" s="755">
        <f>SUMIFS(ProposedLoans!$S$6:$S$21,ProposedLoans!$D$6:$D$21,$C$34,ProposedLoans!$Z$6:$Z$21,$C42,ProposedLoans!$M$6:$M$21,ProposedLoansWkst!I$2)</f>
        <v>0</v>
      </c>
      <c r="J42" s="756">
        <f>SUMIFS(ProposedLoans!$S$6:$S$21,ProposedLoans!$D$6:$D$21,$C$34,ProposedLoans!$Z$6:$Z$21,"*Aug*",ProposedLoans!$M$6:$M$21,ProposedLoansWkst!J$2)</f>
        <v>0</v>
      </c>
      <c r="K42" s="756">
        <f>SUMIFS(ProposedLoans!$S$6:$S$21,ProposedLoans!$D$6:$D$21,$C$34,ProposedLoans!$Z$6:$Z$21,"*Aug*",ProposedLoans!$M$6:$M$21,ProposedLoansWkst!K$2)</f>
        <v>0</v>
      </c>
      <c r="L42" s="756">
        <f>SUMIFS(ProposedLoans!$S$6:$S$21,ProposedLoans!$D$6:$D$21,$C$34,ProposedLoans!$Z$6:$Z$21,"*Aug*",ProposedLoans!$M$6:$M$21,ProposedLoansWkst!L$2)</f>
        <v>0</v>
      </c>
      <c r="M42" s="756">
        <f>SUMIFS(ProposedLoans!$F$6:$F$21,ProposedLoans!$D$6:$D$21,$C$34,ProposedLoans!$G$6:$G$21,"*Aug*")</f>
        <v>0</v>
      </c>
      <c r="O42" s="753" t="s">
        <v>10</v>
      </c>
      <c r="P42" s="756">
        <f>SUMIFS(ProposedLoans!$T$6:$T$21,ProposedLoans!$D$6:$D$21,$C$34,ProposedLoans!$Z$6:$Z$21,$C42,ProposedLoans!$M$6:$M$21,ProposedLoansWkst!I$2)</f>
        <v>0</v>
      </c>
      <c r="Q42" s="756">
        <f>SUMIFS(ProposedLoans!$T$6:$T$21,ProposedLoans!$D$6:$D$21,$C$34,ProposedLoans!$Z$6:$Z$21,"*Aug*",ProposedLoans!$M$6:$M$21,ProposedLoansWkst!Q$2)</f>
        <v>0</v>
      </c>
      <c r="R42" s="756">
        <f>SUMIFS(ProposedLoans!$T$6:$T$21,ProposedLoans!$D$6:$D$21,$C$34,ProposedLoans!$Z$6:$Z$21,"*Aug*",ProposedLoans!$M$6:$M$21,ProposedLoansWkst!R$2)</f>
        <v>0</v>
      </c>
      <c r="S42" s="756">
        <f>SUMIFS(ProposedLoans!$T$6:$T$21,ProposedLoans!$D$6:$D$21,$C$34,ProposedLoans!$Z$6:$Z$21,"*Aug*",ProposedLoans!$M$6:$M$21,ProposedLoansWkst!S$2)</f>
        <v>0</v>
      </c>
    </row>
    <row r="43" spans="2:19" x14ac:dyDescent="0.2">
      <c r="B43" s="757" t="s">
        <v>189</v>
      </c>
      <c r="C43" s="758" t="s">
        <v>11</v>
      </c>
      <c r="D43" s="759">
        <f>SUM(ProposedLoansWkst!$I43:$L43)+ProposedLoansWkst!$E43</f>
        <v>0</v>
      </c>
      <c r="E43" s="760">
        <f>SUM(ProposedLoansWkst!$P43:$S43)</f>
        <v>0</v>
      </c>
      <c r="F43" s="760">
        <f>SUM(ProposedLoansWkst!$M43)</f>
        <v>0</v>
      </c>
      <c r="H43" s="757" t="s">
        <v>11</v>
      </c>
      <c r="I43" s="759">
        <f>SUMIFS(ProposedLoans!$S$6:$S$21,ProposedLoans!$D$6:$D$21,$C$34,ProposedLoans!$Z$6:$Z$21,$C43,ProposedLoans!$M$6:$M$21,ProposedLoansWkst!I$2)</f>
        <v>0</v>
      </c>
      <c r="J43" s="760">
        <f>SUMIFS(ProposedLoans!$S$6:$S$21,ProposedLoans!$D$6:$D$21,$C$34,ProposedLoans!$Z$6:$Z$21,"*Sep*",ProposedLoans!$M$6:$M$21,ProposedLoansWkst!J$2)</f>
        <v>0</v>
      </c>
      <c r="K43" s="760">
        <f>SUMIFS(ProposedLoans!$S$6:$S$21,ProposedLoans!$D$6:$D$21,$C$34,ProposedLoans!$Z$6:$Z$21,"*Sep*",ProposedLoans!$M$6:$M$21,ProposedLoansWkst!K$2)</f>
        <v>0</v>
      </c>
      <c r="L43" s="760">
        <f>SUMIFS(ProposedLoans!$S$6:$S$21,ProposedLoans!$D$6:$D$21,$C$34,ProposedLoans!$Z$6:$Z$21,"*Sep*",ProposedLoans!$M$6:$M$21,ProposedLoansWkst!L$2)</f>
        <v>0</v>
      </c>
      <c r="M43" s="760">
        <f>SUMIFS(ProposedLoans!$F$6:$F$21,ProposedLoans!$D$6:$D$21,$C$34,ProposedLoans!$G$6:$G$21,"*Sep*")</f>
        <v>0</v>
      </c>
      <c r="O43" s="757" t="s">
        <v>11</v>
      </c>
      <c r="P43" s="760">
        <f>SUMIFS(ProposedLoans!$T$6:$T$21,ProposedLoans!$D$6:$D$21,$C$34,ProposedLoans!$Z$6:$Z$21,$C43,ProposedLoans!$M$6:$M$21,ProposedLoansWkst!I$2)</f>
        <v>0</v>
      </c>
      <c r="Q43" s="760">
        <f>SUMIFS(ProposedLoans!$T$6:$T$21,ProposedLoans!$D$6:$D$21,$C$34,ProposedLoans!$Z$6:$Z$21,"*Sep*",ProposedLoans!$M$6:$M$21,ProposedLoansWkst!Q$2)</f>
        <v>0</v>
      </c>
      <c r="R43" s="760">
        <f>SUMIFS(ProposedLoans!$T$6:$T$21,ProposedLoans!$D$6:$D$21,$C$34,ProposedLoans!$Z$6:$Z$21,"*Sep*",ProposedLoans!$M$6:$M$21,ProposedLoansWkst!R$2)</f>
        <v>0</v>
      </c>
      <c r="S43" s="760">
        <f>SUMIFS(ProposedLoans!$T$6:$T$21,ProposedLoans!$D$6:$D$21,$C$34,ProposedLoans!$Z$6:$Z$21,"*Sep*",ProposedLoans!$M$6:$M$21,ProposedLoansWkst!S$2)</f>
        <v>0</v>
      </c>
    </row>
    <row r="44" spans="2:19" x14ac:dyDescent="0.2">
      <c r="B44" s="753" t="s">
        <v>190</v>
      </c>
      <c r="C44" s="761" t="s">
        <v>12</v>
      </c>
      <c r="D44" s="755">
        <f>SUM(ProposedLoansWkst!$I44:$L44)+ProposedLoansWkst!$E44</f>
        <v>0</v>
      </c>
      <c r="E44" s="756">
        <f>SUM(ProposedLoansWkst!$P44:$S44)</f>
        <v>0</v>
      </c>
      <c r="F44" s="756">
        <f>SUM(ProposedLoansWkst!$M44)</f>
        <v>0</v>
      </c>
      <c r="H44" s="753" t="s">
        <v>12</v>
      </c>
      <c r="I44" s="755">
        <f>SUMIFS(ProposedLoans!$S$6:$S$21,ProposedLoans!$D$6:$D$21,$C$34,ProposedLoans!$Z$6:$Z$21,$C44,ProposedLoans!$M$6:$M$21,ProposedLoansWkst!I$2)</f>
        <v>0</v>
      </c>
      <c r="J44" s="756">
        <f>SUMIFS(ProposedLoans!$S$6:$S$21,ProposedLoans!$D$6:$D$21,$C$34,ProposedLoans!$Z$6:$Z$21,"*Oct*",ProposedLoans!$M$6:$M$21,ProposedLoansWkst!J$2)</f>
        <v>0</v>
      </c>
      <c r="K44" s="756">
        <f>SUMIFS(ProposedLoans!$S$6:$S$21,ProposedLoans!$D$6:$D$21,$C$34,ProposedLoans!$Z$6:$Z$21,"*Oct*",ProposedLoans!$M$6:$M$21,ProposedLoansWkst!K$2)</f>
        <v>0</v>
      </c>
      <c r="L44" s="756">
        <f>SUMIFS(ProposedLoans!$S$6:$S$21,ProposedLoans!$D$6:$D$21,$C$34,ProposedLoans!$Z$6:$Z$21,"*Oct*",ProposedLoans!$M$6:$M$21,ProposedLoansWkst!L$2)</f>
        <v>0</v>
      </c>
      <c r="M44" s="756">
        <f>SUMIFS(ProposedLoans!$F$6:$F$21,ProposedLoans!$D$6:$D$21,$C$34,ProposedLoans!$G$6:$G$21,"*Oct*")</f>
        <v>0</v>
      </c>
      <c r="O44" s="753" t="s">
        <v>12</v>
      </c>
      <c r="P44" s="756">
        <f>SUMIFS(ProposedLoans!$T$6:$T$21,ProposedLoans!$D$6:$D$21,$C$34,ProposedLoans!$Z$6:$Z$21,$C44,ProposedLoans!$M$6:$M$21,ProposedLoansWkst!I$2)</f>
        <v>0</v>
      </c>
      <c r="Q44" s="756">
        <f>SUMIFS(ProposedLoans!$T$6:$T$21,ProposedLoans!$D$6:$D$21,$C$34,ProposedLoans!$Z$6:$Z$21,"*Oct*",ProposedLoans!$M$6:$M$21,ProposedLoansWkst!Q$2)</f>
        <v>0</v>
      </c>
      <c r="R44" s="756">
        <f>SUMIFS(ProposedLoans!$T$6:$T$21,ProposedLoans!$D$6:$D$21,$C$34,ProposedLoans!$Z$6:$Z$21,"*Oct*",ProposedLoans!$M$6:$M$21,ProposedLoansWkst!R$2)</f>
        <v>0</v>
      </c>
      <c r="S44" s="756">
        <f>SUMIFS(ProposedLoans!$T$6:$T$21,ProposedLoans!$D$6:$D$21,$C$34,ProposedLoans!$Z$6:$Z$21,"*Oct*",ProposedLoans!$M$6:$M$21,ProposedLoansWkst!S$2)</f>
        <v>0</v>
      </c>
    </row>
    <row r="45" spans="2:19" x14ac:dyDescent="0.2">
      <c r="B45" s="757" t="s">
        <v>191</v>
      </c>
      <c r="C45" s="758" t="s">
        <v>13</v>
      </c>
      <c r="D45" s="759">
        <f>SUM(ProposedLoansWkst!$I45:$L45)+ProposedLoansWkst!$E45</f>
        <v>0</v>
      </c>
      <c r="E45" s="760">
        <f>SUM(ProposedLoansWkst!$P45:$S45)</f>
        <v>0</v>
      </c>
      <c r="F45" s="760">
        <f>SUM(ProposedLoansWkst!$M45)</f>
        <v>0</v>
      </c>
      <c r="H45" s="757" t="s">
        <v>13</v>
      </c>
      <c r="I45" s="759">
        <f>SUMIFS(ProposedLoans!$S$6:$S$21,ProposedLoans!$D$6:$D$21,$C$34,ProposedLoans!$Z$6:$Z$21,$C45,ProposedLoans!$M$6:$M$21,ProposedLoansWkst!I$2)</f>
        <v>0</v>
      </c>
      <c r="J45" s="760">
        <f>SUMIFS(ProposedLoans!$S$6:$S$21,ProposedLoans!$D$6:$D$21,$C$34,ProposedLoans!$Z$6:$Z$21,"*Nov*",ProposedLoans!$M$6:$M$21,ProposedLoansWkst!J$2)</f>
        <v>0</v>
      </c>
      <c r="K45" s="760">
        <f>SUMIFS(ProposedLoans!$S$6:$S$21,ProposedLoans!$D$6:$D$21,$C$34,ProposedLoans!$Z$6:$Z$21,"*Nov*",ProposedLoans!$M$6:$M$21,ProposedLoansWkst!K$2)</f>
        <v>0</v>
      </c>
      <c r="L45" s="760">
        <f>SUMIFS(ProposedLoans!$S$6:$S$21,ProposedLoans!$D$6:$D$21,$C$34,ProposedLoans!$Z$6:$Z$21,"*Nov*",ProposedLoans!$M$6:$M$21,ProposedLoansWkst!L$2)</f>
        <v>0</v>
      </c>
      <c r="M45" s="760">
        <f>SUMIFS(ProposedLoans!$F$6:$F$21,ProposedLoans!$D$6:$D$21,$C$34,ProposedLoans!$G$6:$G$21,"*Nov*")</f>
        <v>0</v>
      </c>
      <c r="O45" s="757" t="s">
        <v>13</v>
      </c>
      <c r="P45" s="760">
        <f>SUMIFS(ProposedLoans!$T$6:$T$21,ProposedLoans!$D$6:$D$21,$C$34,ProposedLoans!$Z$6:$Z$21,$C45,ProposedLoans!$M$6:$M$21,ProposedLoansWkst!I$2)</f>
        <v>0</v>
      </c>
      <c r="Q45" s="760">
        <f>SUMIFS(ProposedLoans!$T$6:$T$21,ProposedLoans!$D$6:$D$21,$C$34,ProposedLoans!$Z$6:$Z$21,"*Nov*",ProposedLoans!$M$6:$M$21,ProposedLoansWkst!Q$2)</f>
        <v>0</v>
      </c>
      <c r="R45" s="760">
        <f>SUMIFS(ProposedLoans!$T$6:$T$21,ProposedLoans!$D$6:$D$21,$C$34,ProposedLoans!$Z$6:$Z$21,"*Nov*",ProposedLoans!$M$6:$M$21,ProposedLoansWkst!R$2)</f>
        <v>0</v>
      </c>
      <c r="S45" s="760">
        <f>SUMIFS(ProposedLoans!$T$6:$T$21,ProposedLoans!$D$6:$D$21,$C$34,ProposedLoans!$Z$6:$Z$21,"*Nov*",ProposedLoans!$M$6:$M$21,ProposedLoansWkst!S$2)</f>
        <v>0</v>
      </c>
    </row>
    <row r="46" spans="2:19" ht="13.5" thickBot="1" x14ac:dyDescent="0.25">
      <c r="B46" s="753" t="s">
        <v>192</v>
      </c>
      <c r="C46" s="761" t="s">
        <v>14</v>
      </c>
      <c r="D46" s="755">
        <f>SUM(ProposedLoansWkst!$I46:$L46)+ProposedLoansWkst!$E46</f>
        <v>0</v>
      </c>
      <c r="E46" s="756">
        <f>SUM(ProposedLoansWkst!$P46:$S46)</f>
        <v>0</v>
      </c>
      <c r="F46" s="756">
        <f>SUM(ProposedLoansWkst!$M46)</f>
        <v>0</v>
      </c>
      <c r="H46" s="753" t="s">
        <v>14</v>
      </c>
      <c r="I46" s="755">
        <f>SUMIFS(ProposedLoans!$S$6:$S$21,ProposedLoans!$D$6:$D$21,$C$34,ProposedLoans!$Z$6:$Z$21,$C46,ProposedLoans!$M$6:$M$21,ProposedLoansWkst!I$2)</f>
        <v>0</v>
      </c>
      <c r="J46" s="756">
        <f>SUMIFS(ProposedLoans!$S$6:$S$21,ProposedLoans!$D$6:$D$21,$C$34,ProposedLoans!$Z$6:$Z$21,"*Dec*",ProposedLoans!$M$6:$M$21,ProposedLoansWkst!J$2)</f>
        <v>0</v>
      </c>
      <c r="K46" s="756">
        <f>SUMIFS(ProposedLoans!$S$6:$S$21,ProposedLoans!$D$6:$D$21,$C$34,ProposedLoans!$Z$6:$Z$21,"*Dec*",ProposedLoans!$M$6:$M$21,ProposedLoansWkst!K$2)</f>
        <v>0</v>
      </c>
      <c r="L46" s="756">
        <f>SUMIFS(ProposedLoans!$S$6:$S$21,ProposedLoans!$D$6:$D$21,$C$34,ProposedLoans!$Z$6:$Z$21,"*Dec*",ProposedLoans!$M$6:$M$21,ProposedLoansWkst!L$2)</f>
        <v>0</v>
      </c>
      <c r="M46" s="756">
        <f>SUMIFS(ProposedLoans!$F$6:$F$21,ProposedLoans!$D$6:$D$21,$C$34,ProposedLoans!$G$6:$G$21,"*Dec*")</f>
        <v>0</v>
      </c>
      <c r="O46" s="753" t="s">
        <v>14</v>
      </c>
      <c r="P46" s="756">
        <f>SUMIFS(ProposedLoans!$T$6:$T$21,ProposedLoans!$D$6:$D$21,$C$34,ProposedLoans!$Z$6:$Z$21,$C46,ProposedLoans!$M$6:$M$21,ProposedLoansWkst!I$2)</f>
        <v>0</v>
      </c>
      <c r="Q46" s="756">
        <f>SUMIFS(ProposedLoans!$T$6:$T$21,ProposedLoans!$D$6:$D$21,$C$34,ProposedLoans!$Z$6:$Z$21,"*Dec*",ProposedLoans!$M$6:$M$21,ProposedLoansWkst!Q$2)</f>
        <v>0</v>
      </c>
      <c r="R46" s="756">
        <f>SUMIFS(ProposedLoans!$T$6:$T$21,ProposedLoans!$D$6:$D$21,$C$34,ProposedLoans!$Z$6:$Z$21,"*Dec*",ProposedLoans!$M$6:$M$21,ProposedLoansWkst!R$2)</f>
        <v>0</v>
      </c>
      <c r="S46" s="756">
        <f>SUMIFS(ProposedLoans!$T$6:$T$21,ProposedLoans!$D$6:$D$21,$C$34,ProposedLoans!$Z$6:$Z$21,"*Dec*",ProposedLoans!$M$6:$M$21,ProposedLoansWkst!S$2)</f>
        <v>0</v>
      </c>
    </row>
    <row r="47" spans="2:19" ht="13.5" thickTop="1" x14ac:dyDescent="0.2">
      <c r="B47" s="762"/>
      <c r="C47" s="763"/>
      <c r="D47" s="764">
        <f>SUM(ProposedLoansWkst!$D$35:$D$46)</f>
        <v>0</v>
      </c>
      <c r="E47" s="746">
        <f>SUM(ProposedLoansWkst!$E$35:$E$46)</f>
        <v>0</v>
      </c>
      <c r="F47" s="745">
        <f>SUM(ProposedLoansWkst!$F$35:$F$46)</f>
        <v>0</v>
      </c>
      <c r="H47" s="767"/>
      <c r="I47" s="745">
        <f>SUM(ProposedLoansWkst!$I$35:$I$46)</f>
        <v>0</v>
      </c>
      <c r="J47" s="745">
        <f>SUM(ProposedLoansWkst!$J$35:$J$46)</f>
        <v>0</v>
      </c>
      <c r="K47" s="745">
        <f>SUM(ProposedLoansWkst!$K$35:$K$46)</f>
        <v>0</v>
      </c>
      <c r="L47" s="745">
        <f>SUM(ProposedLoansWkst!$L$35:$L$46)</f>
        <v>0</v>
      </c>
      <c r="M47" s="745">
        <f>SUM(ProposedLoansWkst!$M$35:$M$46)</f>
        <v>0</v>
      </c>
      <c r="O47" s="767"/>
      <c r="P47" s="745">
        <f>SUM(ProposedLoansWkst!$P$35:$P$46)</f>
        <v>0</v>
      </c>
      <c r="Q47" s="745">
        <f>SUM(ProposedLoansWkst!$Q$35:$Q$46)</f>
        <v>0</v>
      </c>
      <c r="R47" s="745">
        <f>SUM(ProposedLoansWkst!$R$35:$R$46)</f>
        <v>0</v>
      </c>
      <c r="S47" s="745">
        <f>SUM(ProposedLoansWkst!$S$35:$S$46)</f>
        <v>0</v>
      </c>
    </row>
    <row r="50" spans="2:19" ht="13.5" thickBot="1" x14ac:dyDescent="0.25">
      <c r="B50" s="747" t="s">
        <v>125</v>
      </c>
      <c r="C50" s="748" t="s">
        <v>229</v>
      </c>
      <c r="D50" s="748" t="s">
        <v>175</v>
      </c>
      <c r="E50" s="748" t="s">
        <v>176</v>
      </c>
      <c r="F50" s="748" t="s">
        <v>209</v>
      </c>
      <c r="H50" s="747" t="s">
        <v>196</v>
      </c>
      <c r="I50" s="748" t="s">
        <v>104</v>
      </c>
      <c r="J50" s="748" t="s">
        <v>102</v>
      </c>
      <c r="K50" s="748" t="s">
        <v>100</v>
      </c>
      <c r="L50" s="748" t="s">
        <v>99</v>
      </c>
      <c r="M50" s="748" t="s">
        <v>209</v>
      </c>
      <c r="N50" s="57"/>
      <c r="O50" s="747" t="s">
        <v>196</v>
      </c>
      <c r="P50" s="768" t="s">
        <v>104</v>
      </c>
      <c r="Q50" s="768" t="s">
        <v>102</v>
      </c>
      <c r="R50" s="768" t="s">
        <v>100</v>
      </c>
      <c r="S50" s="768" t="s">
        <v>99</v>
      </c>
    </row>
    <row r="51" spans="2:19" ht="13.5" thickTop="1" x14ac:dyDescent="0.2">
      <c r="B51" s="749" t="s">
        <v>182</v>
      </c>
      <c r="C51" s="750" t="s">
        <v>4</v>
      </c>
      <c r="D51" s="751">
        <f>SUM(ProposedLoansWkst!$I51:$L51)+ProposedLoansWkst!$E51</f>
        <v>0</v>
      </c>
      <c r="E51" s="752">
        <f>SUM(ProposedLoansWkst!$P51:$S51)</f>
        <v>0</v>
      </c>
      <c r="F51" s="752">
        <f>SUM(ProposedLoansWkst!$M51)</f>
        <v>0</v>
      </c>
      <c r="H51" s="765" t="s">
        <v>4</v>
      </c>
      <c r="I51" s="751">
        <f>SUMIFS(ProposedLoans!$S$6:$S$21,ProposedLoans!$D$6:$D$21,$C$50,ProposedLoans!$Z$6:$Z$21,$C51,ProposedLoans!$M$6:$M$21,ProposedLoansWkst!I$2)</f>
        <v>0</v>
      </c>
      <c r="J51" s="752">
        <f>SUMIFS(ProposedLoans!$S$6:$S$21,ProposedLoans!$D$6:$D$21,$C$50,ProposedLoans!$Z$6:$Z$21,"*Jan*",ProposedLoans!$M$6:$M$21,ProposedLoansWkst!J$2)</f>
        <v>0</v>
      </c>
      <c r="K51" s="752">
        <f>SUMIFS(ProposedLoans!$S$6:$S$21,ProposedLoans!$D$6:$D$21,$C$50,ProposedLoans!$Z$6:$Z$21,"*Jan*",ProposedLoans!$M$6:$M$21,ProposedLoansWkst!K$2)</f>
        <v>0</v>
      </c>
      <c r="L51" s="752">
        <f>SUMIFS(ProposedLoans!$S$6:$S$21,ProposedLoans!$D$6:$D$21,$C$50,ProposedLoans!$Z$6:$Z$21,"*Jan*",ProposedLoans!$M$6:$M$21,ProposedLoansWkst!L$2)</f>
        <v>0</v>
      </c>
      <c r="M51" s="752">
        <f>SUMIFS(ProposedLoans!$F$6:$F$21,ProposedLoans!$D$6:$D$21,$C$50,ProposedLoans!$G$6:$G$21,"*Jan*")</f>
        <v>0</v>
      </c>
      <c r="O51" s="765" t="s">
        <v>4</v>
      </c>
      <c r="P51" s="752">
        <f>SUMIFS(ProposedLoans!$T$6:$T$21,ProposedLoans!$D$6:$D$21,$C$50,ProposedLoans!$Z$6:$Z$21,$C51,ProposedLoans!$M$6:$M$21,ProposedLoansWkst!I$2)</f>
        <v>0</v>
      </c>
      <c r="Q51" s="752">
        <f>SUMIFS(ProposedLoans!$T$6:$T$21,ProposedLoans!$D$6:$D$21,$C$50,ProposedLoans!$Z$6:$Z$21,"*Jan*",ProposedLoans!$M$6:$M$21,ProposedLoansWkst!Q$2)</f>
        <v>0</v>
      </c>
      <c r="R51" s="752">
        <f>SUMIFS(ProposedLoans!$T$6:$T$21,ProposedLoans!$D$6:$D$21,$C$50,ProposedLoans!$Z$6:$Z$21,"*Jan*",ProposedLoans!$M$6:$M$21,ProposedLoansWkst!R$2)</f>
        <v>0</v>
      </c>
      <c r="S51" s="752">
        <f>SUMIFS(ProposedLoans!$T$6:$T$21,ProposedLoans!$D$6:$D$21,$C$50,ProposedLoans!$Z$6:$Z$21,"*Jan*",ProposedLoans!$M$6:$M$21,ProposedLoansWkst!S$2)</f>
        <v>0</v>
      </c>
    </row>
    <row r="52" spans="2:19" x14ac:dyDescent="0.2">
      <c r="B52" s="753" t="s">
        <v>183</v>
      </c>
      <c r="C52" s="754" t="s">
        <v>5</v>
      </c>
      <c r="D52" s="755">
        <f>SUM(ProposedLoansWkst!$I52:$L52)+ProposedLoansWkst!$E52</f>
        <v>0</v>
      </c>
      <c r="E52" s="756">
        <f>SUM(ProposedLoansWkst!$P52:$S52)</f>
        <v>0</v>
      </c>
      <c r="F52" s="756">
        <f>SUM(ProposedLoansWkst!$M52)</f>
        <v>0</v>
      </c>
      <c r="H52" s="766" t="s">
        <v>5</v>
      </c>
      <c r="I52" s="755">
        <f>SUMIFS(ProposedLoans!$S$6:$S$21,ProposedLoans!$D$6:$D$21,$C$50,ProposedLoans!$Z$6:$Z$21,$C52,ProposedLoans!$M$6:$M$21,ProposedLoansWkst!I$2)</f>
        <v>0</v>
      </c>
      <c r="J52" s="756">
        <f>SUMIFS(ProposedLoans!$S$6:$S$21,ProposedLoans!$D$6:$D$21,$C$50,ProposedLoans!$Z$6:$Z$21,"*Feb*",ProposedLoans!$M$6:$M$21,ProposedLoansWkst!J$2)</f>
        <v>0</v>
      </c>
      <c r="K52" s="756">
        <f>SUMIFS(ProposedLoans!$S$6:$S$21,ProposedLoans!$D$6:$D$21,$C$50,ProposedLoans!$Z$6:$Z$21,"*Feb*",ProposedLoans!$M$6:$M$21,ProposedLoansWkst!K$2)</f>
        <v>0</v>
      </c>
      <c r="L52" s="756">
        <f>SUMIFS(ProposedLoans!$S$6:$S$21,ProposedLoans!$D$6:$D$21,$C$50,ProposedLoans!$Z$6:$Z$21,"*Feb*",ProposedLoans!$M$6:$M$21,ProposedLoansWkst!L$2)</f>
        <v>0</v>
      </c>
      <c r="M52" s="756">
        <f>SUMIFS(ProposedLoans!$F$6:$F$21,ProposedLoans!$D$6:$D$21,$C$50,ProposedLoans!$G$6:$G$21,"*Feb*")</f>
        <v>0</v>
      </c>
      <c r="O52" s="766" t="s">
        <v>5</v>
      </c>
      <c r="P52" s="756">
        <f>SUMIFS(ProposedLoans!$T$6:$T$21,ProposedLoans!$D$6:$D$21,$C$50,ProposedLoans!$Z$6:$Z$21,$C52,ProposedLoans!$M$6:$M$21,ProposedLoansWkst!I$2)</f>
        <v>0</v>
      </c>
      <c r="Q52" s="756">
        <f>SUMIFS(ProposedLoans!$T$6:$T$21,ProposedLoans!$D$6:$D$21,$C$50,ProposedLoans!$Z$6:$Z$21,"*Feb*",ProposedLoans!$M$6:$M$21,ProposedLoansWkst!Q$2)</f>
        <v>0</v>
      </c>
      <c r="R52" s="756">
        <f>SUMIFS(ProposedLoans!$T$6:$T$21,ProposedLoans!$D$6:$D$21,$C$50,ProposedLoans!$Z$6:$Z$21,"*Feb*",ProposedLoans!$M$6:$M$21,ProposedLoansWkst!R$2)</f>
        <v>0</v>
      </c>
      <c r="S52" s="756">
        <f>SUMIFS(ProposedLoans!$T$6:$T$21,ProposedLoans!$D$6:$D$21,$C$50,ProposedLoans!$Z$6:$Z$21,"*Feb*",ProposedLoans!$M$6:$M$21,ProposedLoansWkst!S$2)</f>
        <v>0</v>
      </c>
    </row>
    <row r="53" spans="2:19" x14ac:dyDescent="0.2">
      <c r="B53" s="757" t="s">
        <v>184</v>
      </c>
      <c r="C53" s="758" t="s">
        <v>6</v>
      </c>
      <c r="D53" s="759">
        <f>SUM(ProposedLoansWkst!$I53:$L53)+ProposedLoansWkst!$E53</f>
        <v>0</v>
      </c>
      <c r="E53" s="760">
        <f>SUM(ProposedLoansWkst!$P53:$S53)</f>
        <v>0</v>
      </c>
      <c r="F53" s="760">
        <f>SUM(ProposedLoansWkst!$M53)</f>
        <v>0</v>
      </c>
      <c r="H53" s="757" t="s">
        <v>6</v>
      </c>
      <c r="I53" s="759">
        <f>SUMIFS(ProposedLoans!$S$6:$S$21,ProposedLoans!$D$6:$D$21,$C$50,ProposedLoans!$Z$6:$Z$21,$C53,ProposedLoans!$M$6:$M$21,ProposedLoansWkst!I$2)</f>
        <v>0</v>
      </c>
      <c r="J53" s="760">
        <f>SUMIFS(ProposedLoans!$S$6:$S$21,ProposedLoans!$D$6:$D$21,$C$50,ProposedLoans!$Z$6:$Z$21,"*Mar*",ProposedLoans!$M$6:$M$21,ProposedLoansWkst!J$2)</f>
        <v>0</v>
      </c>
      <c r="K53" s="760">
        <f>SUMIFS(ProposedLoans!$S$6:$S$21,ProposedLoans!$D$6:$D$21,$C$50,ProposedLoans!$Z$6:$Z$21,"*Mar*",ProposedLoans!$M$6:$M$21,ProposedLoansWkst!K$2)</f>
        <v>0</v>
      </c>
      <c r="L53" s="760">
        <f>SUMIFS(ProposedLoans!$S$6:$S$21,ProposedLoans!$D$6:$D$21,$C$50,ProposedLoans!$Z$6:$Z$21,"*Mar*",ProposedLoans!$M$6:$M$21,ProposedLoansWkst!L$2)</f>
        <v>0</v>
      </c>
      <c r="M53" s="760">
        <f>SUMIFS(ProposedLoans!$F$6:$F$21,ProposedLoans!$D$6:$D$21,$C$50,ProposedLoans!$G$6:$G$21,"*Mar*")</f>
        <v>0</v>
      </c>
      <c r="O53" s="757" t="s">
        <v>6</v>
      </c>
      <c r="P53" s="760">
        <f>SUMIFS(ProposedLoans!$T$6:$T$21,ProposedLoans!$D$6:$D$21,$C$50,ProposedLoans!$Z$6:$Z$21,$C53,ProposedLoans!$M$6:$M$21,ProposedLoansWkst!I$2)</f>
        <v>0</v>
      </c>
      <c r="Q53" s="760">
        <f>SUMIFS(ProposedLoans!$T$6:$T$21,ProposedLoans!$D$6:$D$21,$C$50,ProposedLoans!$Z$6:$Z$21,"*Mar*",ProposedLoans!$M$6:$M$21,ProposedLoansWkst!Q$2)</f>
        <v>0</v>
      </c>
      <c r="R53" s="760">
        <f>SUMIFS(ProposedLoans!$T$6:$T$21,ProposedLoans!$D$6:$D$21,$C$50,ProposedLoans!$Z$6:$Z$21,"*Mar*",ProposedLoans!$M$6:$M$21,ProposedLoansWkst!R$2)</f>
        <v>0</v>
      </c>
      <c r="S53" s="760">
        <f>SUMIFS(ProposedLoans!$T$6:$T$21,ProposedLoans!$D$6:$D$21,$C$50,ProposedLoans!$Z$6:$Z$21,"*Mar*",ProposedLoans!$M$6:$M$21,ProposedLoansWkst!S$2)</f>
        <v>0</v>
      </c>
    </row>
    <row r="54" spans="2:19" x14ac:dyDescent="0.2">
      <c r="B54" s="753" t="s">
        <v>185</v>
      </c>
      <c r="C54" s="761" t="s">
        <v>7</v>
      </c>
      <c r="D54" s="755">
        <f>SUM(ProposedLoansWkst!$I54:$L54)+ProposedLoansWkst!$E54</f>
        <v>0</v>
      </c>
      <c r="E54" s="756">
        <f>SUM(ProposedLoansWkst!$P54:$S54)</f>
        <v>0</v>
      </c>
      <c r="F54" s="756">
        <f>SUM(ProposedLoansWkst!$M54)</f>
        <v>0</v>
      </c>
      <c r="H54" s="753" t="s">
        <v>7</v>
      </c>
      <c r="I54" s="755">
        <f>SUMIFS(ProposedLoans!$S$6:$S$21,ProposedLoans!$D$6:$D$21,$C$50,ProposedLoans!$Z$6:$Z$21,$C54,ProposedLoans!$M$6:$M$21,ProposedLoansWkst!I$2)</f>
        <v>0</v>
      </c>
      <c r="J54" s="756">
        <f>SUMIFS(ProposedLoans!$S$6:$S$21,ProposedLoans!$D$6:$D$21,$C$50,ProposedLoans!$Z$6:$Z$21,"*Apr*",ProposedLoans!$M$6:$M$21,ProposedLoansWkst!J$2)</f>
        <v>0</v>
      </c>
      <c r="K54" s="756">
        <f>SUMIFS(ProposedLoans!$S$6:$S$21,ProposedLoans!$D$6:$D$21,$C$50,ProposedLoans!$Z$6:$Z$21,"*Apr*",ProposedLoans!$M$6:$M$21,ProposedLoansWkst!K$2)</f>
        <v>0</v>
      </c>
      <c r="L54" s="756">
        <f>SUMIFS(ProposedLoans!$S$6:$S$21,ProposedLoans!$D$6:$D$21,$C$50,ProposedLoans!$Z$6:$Z$21,"*Apr*",ProposedLoans!$M$6:$M$21,ProposedLoansWkst!L$2)</f>
        <v>0</v>
      </c>
      <c r="M54" s="756">
        <f>SUMIFS(ProposedLoans!$F$6:$F$21,ProposedLoans!$D$6:$D$21,$C$50,ProposedLoans!$G$6:$G$21,"*Apr*")</f>
        <v>0</v>
      </c>
      <c r="O54" s="753" t="s">
        <v>7</v>
      </c>
      <c r="P54" s="756">
        <f>SUMIFS(ProposedLoans!$T$6:$T$21,ProposedLoans!$D$6:$D$21,$C$50,ProposedLoans!$Z$6:$Z$21,$C54,ProposedLoans!$M$6:$M$21,ProposedLoansWkst!I$2)</f>
        <v>0</v>
      </c>
      <c r="Q54" s="756">
        <f>SUMIFS(ProposedLoans!$T$6:$T$21,ProposedLoans!$D$6:$D$21,$C$50,ProposedLoans!$Z$6:$Z$21,"*Apr*",ProposedLoans!$M$6:$M$21,ProposedLoansWkst!Q$2)</f>
        <v>0</v>
      </c>
      <c r="R54" s="756">
        <f>SUMIFS(ProposedLoans!$T$6:$T$21,ProposedLoans!$D$6:$D$21,$C$50,ProposedLoans!$Z$6:$Z$21,"*Apr*",ProposedLoans!$M$6:$M$21,ProposedLoansWkst!R$2)</f>
        <v>0</v>
      </c>
      <c r="S54" s="756">
        <f>SUMIFS(ProposedLoans!$T$6:$T$21,ProposedLoans!$D$6:$D$21,$C$50,ProposedLoans!$Z$6:$Z$21,"*Apr*",ProposedLoans!$M$6:$M$21,ProposedLoansWkst!S$2)</f>
        <v>0</v>
      </c>
    </row>
    <row r="55" spans="2:19" x14ac:dyDescent="0.2">
      <c r="B55" s="757" t="s">
        <v>3</v>
      </c>
      <c r="C55" s="758" t="s">
        <v>3</v>
      </c>
      <c r="D55" s="759">
        <f>SUM(ProposedLoansWkst!$I55:$L55)+ProposedLoansWkst!$E55</f>
        <v>0</v>
      </c>
      <c r="E55" s="760">
        <f>SUM(ProposedLoansWkst!$P55:$S55)</f>
        <v>0</v>
      </c>
      <c r="F55" s="760">
        <f>SUM(ProposedLoansWkst!$M55)</f>
        <v>0</v>
      </c>
      <c r="H55" s="757" t="s">
        <v>3</v>
      </c>
      <c r="I55" s="759">
        <f>SUMIFS(ProposedLoans!$S$6:$S$21,ProposedLoans!$D$6:$D$21,$C$50,ProposedLoans!$Z$6:$Z$21,$C55,ProposedLoans!$M$6:$M$21,ProposedLoansWkst!I$2)</f>
        <v>0</v>
      </c>
      <c r="J55" s="760">
        <f>SUMIFS(ProposedLoans!$S$6:$S$21,ProposedLoans!$D$6:$D$21,$C$50,ProposedLoans!$Z$6:$Z$21,"*May*",ProposedLoans!$M$6:$M$21,ProposedLoansWkst!J$2)</f>
        <v>0</v>
      </c>
      <c r="K55" s="760">
        <f>SUMIFS(ProposedLoans!$S$6:$S$21,ProposedLoans!$D$6:$D$21,$C$50,ProposedLoans!$Z$6:$Z$21,"*May*",ProposedLoans!$M$6:$M$21,ProposedLoansWkst!K$2)</f>
        <v>0</v>
      </c>
      <c r="L55" s="760">
        <f>SUMIFS(ProposedLoans!$S$6:$S$21,ProposedLoans!$D$6:$D$21,$C$50,ProposedLoans!$Z$6:$Z$21,"*May*",ProposedLoans!$M$6:$M$21,ProposedLoansWkst!L$2)</f>
        <v>0</v>
      </c>
      <c r="M55" s="760">
        <f>SUMIFS(ProposedLoans!$F$6:$F$21,ProposedLoans!$D$6:$D$21,$C$50,ProposedLoans!$G$6:$G$21,"*May*")</f>
        <v>0</v>
      </c>
      <c r="O55" s="757" t="s">
        <v>3</v>
      </c>
      <c r="P55" s="760">
        <f>SUMIFS(ProposedLoans!$T$6:$T$21,ProposedLoans!$D$6:$D$21,$C$50,ProposedLoans!$Z$6:$Z$21,$C55,ProposedLoans!$M$6:$M$21,ProposedLoansWkst!I$2)</f>
        <v>0</v>
      </c>
      <c r="Q55" s="760">
        <f>SUMIFS(ProposedLoans!$T$6:$T$21,ProposedLoans!$D$6:$D$21,$C$50,ProposedLoans!$Z$6:$Z$21,"*May*",ProposedLoans!$M$6:$M$21,ProposedLoansWkst!Q$2)</f>
        <v>0</v>
      </c>
      <c r="R55" s="760">
        <f>SUMIFS(ProposedLoans!$T$6:$T$21,ProposedLoans!$D$6:$D$21,$C$50,ProposedLoans!$Z$6:$Z$21,"*May*",ProposedLoans!$M$6:$M$21,ProposedLoansWkst!R$2)</f>
        <v>0</v>
      </c>
      <c r="S55" s="760">
        <f>SUMIFS(ProposedLoans!$T$6:$T$21,ProposedLoans!$D$6:$D$21,$C$50,ProposedLoans!$Z$6:$Z$21,"*May*",ProposedLoans!$M$6:$M$21,ProposedLoansWkst!S$2)</f>
        <v>0</v>
      </c>
    </row>
    <row r="56" spans="2:19" x14ac:dyDescent="0.2">
      <c r="B56" s="753" t="s">
        <v>186</v>
      </c>
      <c r="C56" s="761" t="s">
        <v>8</v>
      </c>
      <c r="D56" s="755">
        <f>SUM(ProposedLoansWkst!$I56:$L56)+ProposedLoansWkst!$E56</f>
        <v>0</v>
      </c>
      <c r="E56" s="756">
        <f>SUM(ProposedLoansWkst!$P56:$S56)</f>
        <v>0</v>
      </c>
      <c r="F56" s="756">
        <f>SUM(ProposedLoansWkst!$M56)</f>
        <v>0</v>
      </c>
      <c r="H56" s="753" t="s">
        <v>8</v>
      </c>
      <c r="I56" s="755">
        <f>SUMIFS(ProposedLoans!$S$6:$S$21,ProposedLoans!$D$6:$D$21,$C$50,ProposedLoans!$Z$6:$Z$21,$C56,ProposedLoans!$M$6:$M$21,ProposedLoansWkst!I$2)</f>
        <v>0</v>
      </c>
      <c r="J56" s="756">
        <f>SUMIFS(ProposedLoans!$S$6:$S$21,ProposedLoans!$D$6:$D$21,$C$50,ProposedLoans!$Z$6:$Z$21,"*Jun*",ProposedLoans!$M$6:$M$21,ProposedLoansWkst!J$2)</f>
        <v>0</v>
      </c>
      <c r="K56" s="756">
        <f>SUMIFS(ProposedLoans!$S$6:$S$21,ProposedLoans!$D$6:$D$21,$C$50,ProposedLoans!$Z$6:$Z$21,"*Jun*",ProposedLoans!$M$6:$M$21,ProposedLoansWkst!K$2)</f>
        <v>0</v>
      </c>
      <c r="L56" s="756">
        <f>SUMIFS(ProposedLoans!$S$6:$S$21,ProposedLoans!$D$6:$D$21,$C$50,ProposedLoans!$Z$6:$Z$21,"*Jun*",ProposedLoans!$M$6:$M$21,ProposedLoansWkst!L$2)</f>
        <v>0</v>
      </c>
      <c r="M56" s="756">
        <f>SUMIFS(ProposedLoans!$F$6:$F$21,ProposedLoans!$D$6:$D$21,$C$50,ProposedLoans!$G$6:$G$21,"*Jun*")</f>
        <v>0</v>
      </c>
      <c r="O56" s="753" t="s">
        <v>8</v>
      </c>
      <c r="P56" s="756">
        <f>SUMIFS(ProposedLoans!$T$6:$T$21,ProposedLoans!$D$6:$D$21,$C$50,ProposedLoans!$Z$6:$Z$21,$C56,ProposedLoans!$M$6:$M$21,ProposedLoansWkst!I$2)</f>
        <v>0</v>
      </c>
      <c r="Q56" s="756">
        <f>SUMIFS(ProposedLoans!$T$6:$T$21,ProposedLoans!$D$6:$D$21,$C$50,ProposedLoans!$Z$6:$Z$21,"*Jun*",ProposedLoans!$M$6:$M$21,ProposedLoansWkst!Q$2)</f>
        <v>0</v>
      </c>
      <c r="R56" s="756">
        <f>SUMIFS(ProposedLoans!$T$6:$T$21,ProposedLoans!$D$6:$D$21,$C$50,ProposedLoans!$Z$6:$Z$21,"*Jun*",ProposedLoans!$M$6:$M$21,ProposedLoansWkst!R$2)</f>
        <v>0</v>
      </c>
      <c r="S56" s="756">
        <f>SUMIFS(ProposedLoans!$T$6:$T$21,ProposedLoans!$D$6:$D$21,$C$50,ProposedLoans!$Z$6:$Z$21,"*Jun*",ProposedLoans!$M$6:$M$21,ProposedLoansWkst!S$2)</f>
        <v>0</v>
      </c>
    </row>
    <row r="57" spans="2:19" x14ac:dyDescent="0.2">
      <c r="B57" s="757" t="s">
        <v>187</v>
      </c>
      <c r="C57" s="758" t="s">
        <v>9</v>
      </c>
      <c r="D57" s="759">
        <f>SUM(ProposedLoansWkst!$I57:$L57)+ProposedLoansWkst!$E57</f>
        <v>0</v>
      </c>
      <c r="E57" s="760">
        <f>SUM(ProposedLoansWkst!$P57:$S57)</f>
        <v>0</v>
      </c>
      <c r="F57" s="760">
        <f>SUM(ProposedLoansWkst!$M57)</f>
        <v>0</v>
      </c>
      <c r="H57" s="757" t="s">
        <v>9</v>
      </c>
      <c r="I57" s="759">
        <f>SUMIFS(ProposedLoans!$S$6:$S$21,ProposedLoans!$D$6:$D$21,$C$50,ProposedLoans!$Z$6:$Z$21,$C57,ProposedLoans!$M$6:$M$21,ProposedLoansWkst!I$2)</f>
        <v>0</v>
      </c>
      <c r="J57" s="760">
        <f>SUMIFS(ProposedLoans!$S$6:$S$21,ProposedLoans!$D$6:$D$21,$C$50,ProposedLoans!$Z$6:$Z$21,"*Jul*",ProposedLoans!$M$6:$M$21,ProposedLoansWkst!J$2)</f>
        <v>0</v>
      </c>
      <c r="K57" s="760">
        <f>SUMIFS(ProposedLoans!$S$6:$S$21,ProposedLoans!$D$6:$D$21,$C$50,ProposedLoans!$Z$6:$Z$21,"*Jul*",ProposedLoans!$M$6:$M$21,ProposedLoansWkst!K$2)</f>
        <v>0</v>
      </c>
      <c r="L57" s="760">
        <f>SUMIFS(ProposedLoans!$S$6:$S$21,ProposedLoans!$D$6:$D$21,$C$50,ProposedLoans!$Z$6:$Z$21,"*Jul*",ProposedLoans!$M$6:$M$21,ProposedLoansWkst!L$2)</f>
        <v>0</v>
      </c>
      <c r="M57" s="760">
        <f>SUMIFS(ProposedLoans!$F$6:$F$21,ProposedLoans!$D$6:$D$21,$C$50,ProposedLoans!$G$6:$G$21,"*Jul*")</f>
        <v>0</v>
      </c>
      <c r="O57" s="757" t="s">
        <v>9</v>
      </c>
      <c r="P57" s="760">
        <f>SUMIFS(ProposedLoans!$T$6:$T$21,ProposedLoans!$D$6:$D$21,$C$50,ProposedLoans!$Z$6:$Z$21,$C57,ProposedLoans!$M$6:$M$21,ProposedLoansWkst!I$2)</f>
        <v>0</v>
      </c>
      <c r="Q57" s="760">
        <f>SUMIFS(ProposedLoans!$T$6:$T$21,ProposedLoans!$D$6:$D$21,$C$50,ProposedLoans!$Z$6:$Z$21,"*Jul*",ProposedLoans!$M$6:$M$21,ProposedLoansWkst!Q$2)</f>
        <v>0</v>
      </c>
      <c r="R57" s="760">
        <f>SUMIFS(ProposedLoans!$T$6:$T$21,ProposedLoans!$D$6:$D$21,$C$50,ProposedLoans!$Z$6:$Z$21,"*Jul*",ProposedLoans!$M$6:$M$21,ProposedLoansWkst!R$2)</f>
        <v>0</v>
      </c>
      <c r="S57" s="760">
        <f>SUMIFS(ProposedLoans!$T$6:$T$21,ProposedLoans!$D$6:$D$21,$C$50,ProposedLoans!$Z$6:$Z$21,"*Jul*",ProposedLoans!$M$6:$M$21,ProposedLoansWkst!S$2)</f>
        <v>0</v>
      </c>
    </row>
    <row r="58" spans="2:19" x14ac:dyDescent="0.2">
      <c r="B58" s="753" t="s">
        <v>188</v>
      </c>
      <c r="C58" s="761" t="s">
        <v>10</v>
      </c>
      <c r="D58" s="755">
        <f>SUM(ProposedLoansWkst!$I58:$L58)+ProposedLoansWkst!$E58</f>
        <v>0</v>
      </c>
      <c r="E58" s="756">
        <f>SUM(ProposedLoansWkst!$P58:$S58)</f>
        <v>0</v>
      </c>
      <c r="F58" s="756">
        <f>SUM(ProposedLoansWkst!$M58)</f>
        <v>0</v>
      </c>
      <c r="H58" s="753" t="s">
        <v>10</v>
      </c>
      <c r="I58" s="755">
        <f>SUMIFS(ProposedLoans!$S$6:$S$21,ProposedLoans!$D$6:$D$21,$C$50,ProposedLoans!$Z$6:$Z$21,$C58,ProposedLoans!$M$6:$M$21,ProposedLoansWkst!I$2)</f>
        <v>0</v>
      </c>
      <c r="J58" s="756">
        <f>SUMIFS(ProposedLoans!$S$6:$S$21,ProposedLoans!$D$6:$D$21,$C$50,ProposedLoans!$Z$6:$Z$21,"*Aug*",ProposedLoans!$M$6:$M$21,ProposedLoansWkst!J$2)</f>
        <v>0</v>
      </c>
      <c r="K58" s="756">
        <f>SUMIFS(ProposedLoans!$S$6:$S$21,ProposedLoans!$D$6:$D$21,$C$50,ProposedLoans!$Z$6:$Z$21,"*Aug*",ProposedLoans!$M$6:$M$21,ProposedLoansWkst!K$2)</f>
        <v>0</v>
      </c>
      <c r="L58" s="756">
        <f>SUMIFS(ProposedLoans!$S$6:$S$21,ProposedLoans!$D$6:$D$21,$C$50,ProposedLoans!$Z$6:$Z$21,"*Aug*",ProposedLoans!$M$6:$M$21,ProposedLoansWkst!L$2)</f>
        <v>0</v>
      </c>
      <c r="M58" s="756">
        <f>SUMIFS(ProposedLoans!$F$6:$F$21,ProposedLoans!$D$6:$D$21,$C$50,ProposedLoans!$G$6:$G$21,"*Aug*")</f>
        <v>0</v>
      </c>
      <c r="O58" s="753" t="s">
        <v>10</v>
      </c>
      <c r="P58" s="756">
        <f>SUMIFS(ProposedLoans!$T$6:$T$21,ProposedLoans!$D$6:$D$21,$C$50,ProposedLoans!$Z$6:$Z$21,$C58,ProposedLoans!$M$6:$M$21,ProposedLoansWkst!I$2)</f>
        <v>0</v>
      </c>
      <c r="Q58" s="756">
        <f>SUMIFS(ProposedLoans!$T$6:$T$21,ProposedLoans!$D$6:$D$21,$C$50,ProposedLoans!$Z$6:$Z$21,"*Aug*",ProposedLoans!$M$6:$M$21,ProposedLoansWkst!Q$2)</f>
        <v>0</v>
      </c>
      <c r="R58" s="756">
        <f>SUMIFS(ProposedLoans!$T$6:$T$21,ProposedLoans!$D$6:$D$21,$C$50,ProposedLoans!$Z$6:$Z$21,"*Aug*",ProposedLoans!$M$6:$M$21,ProposedLoansWkst!R$2)</f>
        <v>0</v>
      </c>
      <c r="S58" s="756">
        <f>SUMIFS(ProposedLoans!$T$6:$T$21,ProposedLoans!$D$6:$D$21,$C$50,ProposedLoans!$Z$6:$Z$21,"*Aug*",ProposedLoans!$M$6:$M$21,ProposedLoansWkst!S$2)</f>
        <v>0</v>
      </c>
    </row>
    <row r="59" spans="2:19" x14ac:dyDescent="0.2">
      <c r="B59" s="757" t="s">
        <v>189</v>
      </c>
      <c r="C59" s="758" t="s">
        <v>11</v>
      </c>
      <c r="D59" s="759">
        <f>SUM(ProposedLoansWkst!$I59:$L59)+ProposedLoansWkst!$E59</f>
        <v>0</v>
      </c>
      <c r="E59" s="760">
        <f>SUM(ProposedLoansWkst!$P59:$S59)</f>
        <v>0</v>
      </c>
      <c r="F59" s="760">
        <f>SUM(ProposedLoansWkst!$M59)</f>
        <v>0</v>
      </c>
      <c r="H59" s="757" t="s">
        <v>11</v>
      </c>
      <c r="I59" s="759">
        <f>SUMIFS(ProposedLoans!$S$6:$S$21,ProposedLoans!$D$6:$D$21,$C$50,ProposedLoans!$Z$6:$Z$21,$C59,ProposedLoans!$M$6:$M$21,ProposedLoansWkst!I$2)</f>
        <v>0</v>
      </c>
      <c r="J59" s="760">
        <f>SUMIFS(ProposedLoans!$S$6:$S$21,ProposedLoans!$D$6:$D$21,$C$50,ProposedLoans!$Z$6:$Z$21,"*Sep*",ProposedLoans!$M$6:$M$21,ProposedLoansWkst!J$2)</f>
        <v>0</v>
      </c>
      <c r="K59" s="760">
        <f>SUMIFS(ProposedLoans!$S$6:$S$21,ProposedLoans!$D$6:$D$21,$C$50,ProposedLoans!$Z$6:$Z$21,"*Sep*",ProposedLoans!$M$6:$M$21,ProposedLoansWkst!K$2)</f>
        <v>0</v>
      </c>
      <c r="L59" s="760">
        <f>SUMIFS(ProposedLoans!$S$6:$S$21,ProposedLoans!$D$6:$D$21,$C$50,ProposedLoans!$Z$6:$Z$21,"*Sep*",ProposedLoans!$M$6:$M$21,ProposedLoansWkst!L$2)</f>
        <v>0</v>
      </c>
      <c r="M59" s="760">
        <f>SUMIFS(ProposedLoans!$F$6:$F$21,ProposedLoans!$D$6:$D$21,$C$50,ProposedLoans!$G$6:$G$21,"*Sep*")</f>
        <v>0</v>
      </c>
      <c r="O59" s="757" t="s">
        <v>11</v>
      </c>
      <c r="P59" s="760">
        <f>SUMIFS(ProposedLoans!$T$6:$T$21,ProposedLoans!$D$6:$D$21,$C$50,ProposedLoans!$Z$6:$Z$21,$C59,ProposedLoans!$M$6:$M$21,ProposedLoansWkst!I$2)</f>
        <v>0</v>
      </c>
      <c r="Q59" s="760">
        <f>SUMIFS(ProposedLoans!$T$6:$T$21,ProposedLoans!$D$6:$D$21,$C$50,ProposedLoans!$Z$6:$Z$21,"*Sep*",ProposedLoans!$M$6:$M$21,ProposedLoansWkst!Q$2)</f>
        <v>0</v>
      </c>
      <c r="R59" s="760">
        <f>SUMIFS(ProposedLoans!$T$6:$T$21,ProposedLoans!$D$6:$D$21,$C$50,ProposedLoans!$Z$6:$Z$21,"*Sep*",ProposedLoans!$M$6:$M$21,ProposedLoansWkst!R$2)</f>
        <v>0</v>
      </c>
      <c r="S59" s="760">
        <f>SUMIFS(ProposedLoans!$T$6:$T$21,ProposedLoans!$D$6:$D$21,$C$50,ProposedLoans!$Z$6:$Z$21,"*Sep*",ProposedLoans!$M$6:$M$21,ProposedLoansWkst!S$2)</f>
        <v>0</v>
      </c>
    </row>
    <row r="60" spans="2:19" x14ac:dyDescent="0.2">
      <c r="B60" s="753" t="s">
        <v>190</v>
      </c>
      <c r="C60" s="761" t="s">
        <v>12</v>
      </c>
      <c r="D60" s="755">
        <f>SUM(ProposedLoansWkst!$I60:$L60)+ProposedLoansWkst!$E60</f>
        <v>0</v>
      </c>
      <c r="E60" s="756">
        <f>SUM(ProposedLoansWkst!$P60:$S60)</f>
        <v>0</v>
      </c>
      <c r="F60" s="756">
        <f>SUM(ProposedLoansWkst!$M60)</f>
        <v>0</v>
      </c>
      <c r="H60" s="753" t="s">
        <v>12</v>
      </c>
      <c r="I60" s="755">
        <f>SUMIFS(ProposedLoans!$S$6:$S$21,ProposedLoans!$D$6:$D$21,$C$50,ProposedLoans!$Z$6:$Z$21,$C60,ProposedLoans!$M$6:$M$21,ProposedLoansWkst!I$2)</f>
        <v>0</v>
      </c>
      <c r="J60" s="756">
        <f>SUMIFS(ProposedLoans!$S$6:$S$21,ProposedLoans!$D$6:$D$21,$C$50,ProposedLoans!$Z$6:$Z$21,"*Oct*",ProposedLoans!$M$6:$M$21,ProposedLoansWkst!J$2)</f>
        <v>0</v>
      </c>
      <c r="K60" s="756">
        <f>SUMIFS(ProposedLoans!$S$6:$S$21,ProposedLoans!$D$6:$D$21,$C$50,ProposedLoans!$Z$6:$Z$21,"*Oct*",ProposedLoans!$M$6:$M$21,ProposedLoansWkst!K$2)</f>
        <v>0</v>
      </c>
      <c r="L60" s="756">
        <f>SUMIFS(ProposedLoans!$S$6:$S$21,ProposedLoans!$D$6:$D$21,$C$50,ProposedLoans!$Z$6:$Z$21,"*Oct*",ProposedLoans!$M$6:$M$21,ProposedLoansWkst!L$2)</f>
        <v>0</v>
      </c>
      <c r="M60" s="756">
        <f>SUMIFS(ProposedLoans!$F$6:$F$21,ProposedLoans!$D$6:$D$21,$C$50,ProposedLoans!$G$6:$G$21,"*Oct*")</f>
        <v>0</v>
      </c>
      <c r="O60" s="753" t="s">
        <v>12</v>
      </c>
      <c r="P60" s="756">
        <f>SUMIFS(ProposedLoans!$T$6:$T$21,ProposedLoans!$D$6:$D$21,$C$50,ProposedLoans!$Z$6:$Z$21,$C60,ProposedLoans!$M$6:$M$21,ProposedLoansWkst!I$2)</f>
        <v>0</v>
      </c>
      <c r="Q60" s="756">
        <f>SUMIFS(ProposedLoans!$T$6:$T$21,ProposedLoans!$D$6:$D$21,$C$50,ProposedLoans!$Z$6:$Z$21,"*Oct*",ProposedLoans!$M$6:$M$21,ProposedLoansWkst!Q$2)</f>
        <v>0</v>
      </c>
      <c r="R60" s="756">
        <f>SUMIFS(ProposedLoans!$T$6:$T$21,ProposedLoans!$D$6:$D$21,$C$50,ProposedLoans!$Z$6:$Z$21,"*Oct*",ProposedLoans!$M$6:$M$21,ProposedLoansWkst!R$2)</f>
        <v>0</v>
      </c>
      <c r="S60" s="756">
        <f>SUMIFS(ProposedLoans!$T$6:$T$21,ProposedLoans!$D$6:$D$21,$C$50,ProposedLoans!$Z$6:$Z$21,"*Oct*",ProposedLoans!$M$6:$M$21,ProposedLoansWkst!S$2)</f>
        <v>0</v>
      </c>
    </row>
    <row r="61" spans="2:19" x14ac:dyDescent="0.2">
      <c r="B61" s="757" t="s">
        <v>191</v>
      </c>
      <c r="C61" s="758" t="s">
        <v>13</v>
      </c>
      <c r="D61" s="759">
        <f>SUM(ProposedLoansWkst!$I61:$L61)+ProposedLoansWkst!$E61</f>
        <v>0</v>
      </c>
      <c r="E61" s="760">
        <f>SUM(ProposedLoansWkst!$P61:$S61)</f>
        <v>0</v>
      </c>
      <c r="F61" s="760">
        <f>SUM(ProposedLoansWkst!$M61)</f>
        <v>0</v>
      </c>
      <c r="H61" s="757" t="s">
        <v>13</v>
      </c>
      <c r="I61" s="759">
        <f>SUMIFS(ProposedLoans!$S$6:$S$21,ProposedLoans!$D$6:$D$21,$C$50,ProposedLoans!$Z$6:$Z$21,$C61,ProposedLoans!$M$6:$M$21,ProposedLoansWkst!I$2)</f>
        <v>0</v>
      </c>
      <c r="J61" s="760">
        <f>SUMIFS(ProposedLoans!$S$6:$S$21,ProposedLoans!$D$6:$D$21,$C$50,ProposedLoans!$Z$6:$Z$21,"*Nov*",ProposedLoans!$M$6:$M$21,ProposedLoansWkst!J$2)</f>
        <v>0</v>
      </c>
      <c r="K61" s="760">
        <f>SUMIFS(ProposedLoans!$S$6:$S$21,ProposedLoans!$D$6:$D$21,$C$50,ProposedLoans!$Z$6:$Z$21,"*Nov*",ProposedLoans!$M$6:$M$21,ProposedLoansWkst!K$2)</f>
        <v>0</v>
      </c>
      <c r="L61" s="760">
        <f>SUMIFS(ProposedLoans!$S$6:$S$21,ProposedLoans!$D$6:$D$21,$C$50,ProposedLoans!$Z$6:$Z$21,"*Nov*",ProposedLoans!$M$6:$M$21,ProposedLoansWkst!L$2)</f>
        <v>0</v>
      </c>
      <c r="M61" s="760">
        <f>SUMIFS(ProposedLoans!$F$6:$F$21,ProposedLoans!$D$6:$D$21,$C$50,ProposedLoans!$G$6:$G$21,"*Nov*")</f>
        <v>0</v>
      </c>
      <c r="O61" s="757" t="s">
        <v>13</v>
      </c>
      <c r="P61" s="760">
        <f>SUMIFS(ProposedLoans!$T$6:$T$21,ProposedLoans!$D$6:$D$21,$C$50,ProposedLoans!$Z$6:$Z$21,$C61,ProposedLoans!$M$6:$M$21,ProposedLoansWkst!I$2)</f>
        <v>0</v>
      </c>
      <c r="Q61" s="760">
        <f>SUMIFS(ProposedLoans!$T$6:$T$21,ProposedLoans!$D$6:$D$21,$C$50,ProposedLoans!$Z$6:$Z$21,"*Nov*",ProposedLoans!$M$6:$M$21,ProposedLoansWkst!Q$2)</f>
        <v>0</v>
      </c>
      <c r="R61" s="760">
        <f>SUMIFS(ProposedLoans!$T$6:$T$21,ProposedLoans!$D$6:$D$21,$C$50,ProposedLoans!$Z$6:$Z$21,"*Nov*",ProposedLoans!$M$6:$M$21,ProposedLoansWkst!R$2)</f>
        <v>0</v>
      </c>
      <c r="S61" s="760">
        <f>SUMIFS(ProposedLoans!$T$6:$T$21,ProposedLoans!$D$6:$D$21,$C$50,ProposedLoans!$Z$6:$Z$21,"*Nov*",ProposedLoans!$M$6:$M$21,ProposedLoansWkst!S$2)</f>
        <v>0</v>
      </c>
    </row>
    <row r="62" spans="2:19" ht="13.5" thickBot="1" x14ac:dyDescent="0.25">
      <c r="B62" s="753" t="s">
        <v>192</v>
      </c>
      <c r="C62" s="761" t="s">
        <v>14</v>
      </c>
      <c r="D62" s="755">
        <f>SUM(ProposedLoansWkst!$I62:$L62)+ProposedLoansWkst!$E62</f>
        <v>0</v>
      </c>
      <c r="E62" s="756">
        <f>SUM(ProposedLoansWkst!$P62:$S62)</f>
        <v>0</v>
      </c>
      <c r="F62" s="756">
        <f>SUM(ProposedLoansWkst!$M62)</f>
        <v>0</v>
      </c>
      <c r="H62" s="753" t="s">
        <v>14</v>
      </c>
      <c r="I62" s="755">
        <f>SUMIFS(ProposedLoans!$S$6:$S$21,ProposedLoans!$D$6:$D$21,$C$50,ProposedLoans!$Z$6:$Z$21,$C62,ProposedLoans!$M$6:$M$21,ProposedLoansWkst!I$2)</f>
        <v>0</v>
      </c>
      <c r="J62" s="756">
        <f>SUMIFS(ProposedLoans!$S$6:$S$21,ProposedLoans!$D$6:$D$21,$C$50,ProposedLoans!$Z$6:$Z$21,"*Dec*",ProposedLoans!$M$6:$M$21,ProposedLoansWkst!J$2)</f>
        <v>0</v>
      </c>
      <c r="K62" s="756">
        <f>SUMIFS(ProposedLoans!$S$6:$S$21,ProposedLoans!$D$6:$D$21,$C$50,ProposedLoans!$Z$6:$Z$21,"*Dec*",ProposedLoans!$M$6:$M$21,ProposedLoansWkst!K$2)</f>
        <v>0</v>
      </c>
      <c r="L62" s="756">
        <f>SUMIFS(ProposedLoans!$S$6:$S$21,ProposedLoans!$D$6:$D$21,$C$50,ProposedLoans!$Z$6:$Z$21,"*Dec*",ProposedLoans!$M$6:$M$21,ProposedLoansWkst!L$2)</f>
        <v>0</v>
      </c>
      <c r="M62" s="756">
        <f>SUMIFS(ProposedLoans!$F$6:$F$21,ProposedLoans!$D$6:$D$21,$C$50,ProposedLoans!$G$6:$G$21,"*Dec*")</f>
        <v>0</v>
      </c>
      <c r="O62" s="753" t="s">
        <v>14</v>
      </c>
      <c r="P62" s="756">
        <f>SUMIFS(ProposedLoans!$T$6:$T$21,ProposedLoans!$D$6:$D$21,$C$50,ProposedLoans!$Z$6:$Z$21,$C62,ProposedLoans!$M$6:$M$21,ProposedLoansWkst!I$2)</f>
        <v>0</v>
      </c>
      <c r="Q62" s="756">
        <f>SUMIFS(ProposedLoans!$T$6:$T$21,ProposedLoans!$D$6:$D$21,$C$50,ProposedLoans!$Z$6:$Z$21,"*Dec*",ProposedLoans!$M$6:$M$21,ProposedLoansWkst!Q$2)</f>
        <v>0</v>
      </c>
      <c r="R62" s="756">
        <f>SUMIFS(ProposedLoans!$T$6:$T$21,ProposedLoans!$D$6:$D$21,$C$50,ProposedLoans!$Z$6:$Z$21,"*Dec*",ProposedLoans!$M$6:$M$21,ProposedLoansWkst!R$2)</f>
        <v>0</v>
      </c>
      <c r="S62" s="756">
        <f>SUMIFS(ProposedLoans!$T$6:$T$21,ProposedLoans!$D$6:$D$21,$C$50,ProposedLoans!$Z$6:$Z$21,"*Dec*",ProposedLoans!$M$6:$M$21,ProposedLoansWkst!S$2)</f>
        <v>0</v>
      </c>
    </row>
    <row r="63" spans="2:19" ht="13.5" thickTop="1" x14ac:dyDescent="0.2">
      <c r="B63" s="762"/>
      <c r="C63" s="763"/>
      <c r="D63" s="764">
        <f>SUM(ProposedLoansWkst!$D$51:$D$62)</f>
        <v>0</v>
      </c>
      <c r="E63" s="746">
        <f>SUM(ProposedLoansWkst!$E$51:$E$62)</f>
        <v>0</v>
      </c>
      <c r="F63" s="745">
        <f>SUM(ProposedLoansWkst!$F$51:$F$62)</f>
        <v>0</v>
      </c>
      <c r="H63" s="767"/>
      <c r="I63" s="745">
        <f>SUM(ProposedLoansWkst!$I$51:$I$62)</f>
        <v>0</v>
      </c>
      <c r="J63" s="745">
        <f>SUM(ProposedLoansWkst!$J$51:$J$62)</f>
        <v>0</v>
      </c>
      <c r="K63" s="745">
        <f>SUM(ProposedLoansWkst!$K$51:$K$62)</f>
        <v>0</v>
      </c>
      <c r="L63" s="745">
        <f>SUM(ProposedLoansWkst!$L$51:$L$62)</f>
        <v>0</v>
      </c>
      <c r="M63" s="745">
        <f>SUM(ProposedLoansWkst!$M$51:$M$62)</f>
        <v>0</v>
      </c>
      <c r="O63" s="767"/>
      <c r="P63" s="745">
        <f>SUM(ProposedLoansWkst!$P$51:$P$62)</f>
        <v>0</v>
      </c>
      <c r="Q63" s="745">
        <f>SUM(ProposedLoansWkst!$Q$51:$Q$62)</f>
        <v>0</v>
      </c>
      <c r="R63" s="745">
        <f>SUM(ProposedLoansWkst!$R$51:$R$62)</f>
        <v>0</v>
      </c>
      <c r="S63" s="745">
        <f>SUM(ProposedLoansWkst!$S$51:$S$62)</f>
        <v>0</v>
      </c>
    </row>
    <row r="66" spans="2:19" ht="13.5" thickBot="1" x14ac:dyDescent="0.25">
      <c r="B66" s="747" t="s">
        <v>125</v>
      </c>
      <c r="C66" s="748" t="s">
        <v>406</v>
      </c>
      <c r="D66" s="748" t="s">
        <v>175</v>
      </c>
      <c r="E66" s="748" t="s">
        <v>176</v>
      </c>
      <c r="F66" s="748" t="s">
        <v>209</v>
      </c>
      <c r="H66" s="747" t="s">
        <v>196</v>
      </c>
      <c r="I66" s="748" t="s">
        <v>104</v>
      </c>
      <c r="J66" s="748" t="s">
        <v>102</v>
      </c>
      <c r="K66" s="748" t="s">
        <v>100</v>
      </c>
      <c r="L66" s="748" t="s">
        <v>99</v>
      </c>
      <c r="M66" s="748" t="s">
        <v>209</v>
      </c>
      <c r="N66" s="57"/>
      <c r="O66" s="747" t="s">
        <v>196</v>
      </c>
      <c r="P66" s="768" t="s">
        <v>104</v>
      </c>
      <c r="Q66" s="768" t="s">
        <v>102</v>
      </c>
      <c r="R66" s="768" t="s">
        <v>100</v>
      </c>
      <c r="S66" s="768" t="s">
        <v>99</v>
      </c>
    </row>
    <row r="67" spans="2:19" ht="13.5" thickTop="1" x14ac:dyDescent="0.2">
      <c r="B67" s="749" t="s">
        <v>182</v>
      </c>
      <c r="C67" s="750" t="s">
        <v>4</v>
      </c>
      <c r="D67" s="751">
        <f>SUM(ProposedLoansWkst!$I67:$L67)</f>
        <v>0</v>
      </c>
      <c r="E67" s="752">
        <f>SUM(ProposedLoansWkst!$P67:$S67)</f>
        <v>0</v>
      </c>
      <c r="F67" s="752">
        <f>SUM(ProposedLoansWkst!$M67)</f>
        <v>0</v>
      </c>
      <c r="H67" s="765" t="s">
        <v>4</v>
      </c>
      <c r="I67" s="751">
        <f>SUMIFS(ProposedLoans!$S$6:$S$21,ProposedLoans!$D$6:$D$21,$C$66,ProposedLoans!$Z$6:$Z$21,$C67,ProposedLoans!$M$6:$M$21,ProposedLoansWkst!I$2)</f>
        <v>0</v>
      </c>
      <c r="J67" s="752">
        <f>SUMIFS(ProposedLoans!$S$6:$S$21,ProposedLoans!$D$6:$D$21,$C$66,ProposedLoans!$Z$6:$Z$21,"*Jan*",ProposedLoans!$M$6:$M$21,ProposedLoansWkst!J$2)</f>
        <v>0</v>
      </c>
      <c r="K67" s="752">
        <f>SUMIFS(ProposedLoans!$S$6:$S$21,ProposedLoans!$D$6:$D$21,$C$66,ProposedLoans!$Z$6:$Z$21,"*Jan*",ProposedLoans!$M$6:$M$21,ProposedLoansWkst!K$2)</f>
        <v>0</v>
      </c>
      <c r="L67" s="752">
        <f>SUMIFS(ProposedLoans!$S$6:$S$21,ProposedLoans!$D$6:$D$21,$C$66,ProposedLoans!$Z$6:$Z$21,"*Jan*",ProposedLoans!$M$6:$M$21,ProposedLoansWkst!L$2)</f>
        <v>0</v>
      </c>
      <c r="M67" s="752">
        <f>SUMIFS(ProposedLoans!$F$6:$F$21,ProposedLoans!$D$6:$D$21,$C$66,ProposedLoans!$G$6:$G$21,"*Jan*")</f>
        <v>0</v>
      </c>
      <c r="O67" s="765" t="s">
        <v>4</v>
      </c>
      <c r="P67" s="752">
        <f>SUMIFS(ProposedLoans!$T$6:$T$21,ProposedLoans!$D$6:$D$21,$C$66,ProposedLoans!$Z$6:$Z$21,$C67,ProposedLoans!$M$6:$M$21,ProposedLoansWkst!I$2)</f>
        <v>0</v>
      </c>
      <c r="Q67" s="752">
        <f>SUMIFS(ProposedLoans!$T$6:$T$21,ProposedLoans!$D$6:$D$21,$C$66,ProposedLoans!$Z$6:$Z$21,"*Jan*",ProposedLoans!$M$6:$M$21,ProposedLoansWkst!Q$2)</f>
        <v>0</v>
      </c>
      <c r="R67" s="752">
        <f>SUMIFS(ProposedLoans!$T$6:$T$21,ProposedLoans!$D$6:$D$21,$C$66,ProposedLoans!$Z$6:$Z$21,"*Jan*",ProposedLoans!$M$6:$M$21,ProposedLoansWkst!R$2)</f>
        <v>0</v>
      </c>
      <c r="S67" s="752">
        <f>SUMIFS(ProposedLoans!$T$6:$T$21,ProposedLoans!$D$6:$D$21,$C$66,ProposedLoans!$Z$6:$Z$21,"*Jan*",ProposedLoans!$M$6:$M$21,ProposedLoansWkst!S$2)</f>
        <v>0</v>
      </c>
    </row>
    <row r="68" spans="2:19" x14ac:dyDescent="0.2">
      <c r="B68" s="753" t="s">
        <v>183</v>
      </c>
      <c r="C68" s="754" t="s">
        <v>5</v>
      </c>
      <c r="D68" s="755">
        <f>SUM(ProposedLoansWkst!$I68:$L68)</f>
        <v>0</v>
      </c>
      <c r="E68" s="756">
        <f>SUM(ProposedLoansWkst!$P68:$S68)</f>
        <v>0</v>
      </c>
      <c r="F68" s="756">
        <f>SUM(ProposedLoansWkst!$M68)</f>
        <v>0</v>
      </c>
      <c r="H68" s="766" t="s">
        <v>5</v>
      </c>
      <c r="I68" s="755">
        <f>SUMIFS(ProposedLoans!$S$6:$S$21,ProposedLoans!$D$6:$D$21,$C$66,ProposedLoans!$Z$6:$Z$21,$C68,ProposedLoans!$M$6:$M$21,ProposedLoansWkst!I$2)</f>
        <v>0</v>
      </c>
      <c r="J68" s="756">
        <f>SUMIFS(ProposedLoans!$S$6:$S$21,ProposedLoans!$D$6:$D$21,$C$66,ProposedLoans!$Z$6:$Z$21,"*Feb*",ProposedLoans!$M$6:$M$21,ProposedLoansWkst!J$2)</f>
        <v>0</v>
      </c>
      <c r="K68" s="756">
        <f>SUMIFS(ProposedLoans!$S$6:$S$21,ProposedLoans!$D$6:$D$21,$C$66,ProposedLoans!$Z$6:$Z$21,"*Feb*",ProposedLoans!$M$6:$M$21,ProposedLoansWkst!K$2)</f>
        <v>0</v>
      </c>
      <c r="L68" s="756">
        <f>SUMIFS(ProposedLoans!$S$6:$S$21,ProposedLoans!$D$6:$D$21,$C$66,ProposedLoans!$Z$6:$Z$21,"*Feb*",ProposedLoans!$M$6:$M$21,ProposedLoansWkst!L$2)</f>
        <v>0</v>
      </c>
      <c r="M68" s="756">
        <f>SUMIFS(ProposedLoans!$F$6:$F$21,ProposedLoans!$D$6:$D$21,$C$66,ProposedLoans!$G$6:$G$21,"*Feb*")</f>
        <v>0</v>
      </c>
      <c r="O68" s="766" t="s">
        <v>5</v>
      </c>
      <c r="P68" s="756">
        <f>SUMIFS(ProposedLoans!$T$6:$T$21,ProposedLoans!$D$6:$D$21,$C$66,ProposedLoans!$Z$6:$Z$21,$C68,ProposedLoans!$M$6:$M$21,ProposedLoansWkst!I$2)</f>
        <v>0</v>
      </c>
      <c r="Q68" s="756">
        <f>SUMIFS(ProposedLoans!$T$6:$T$21,ProposedLoans!$D$6:$D$21,$C$66,ProposedLoans!$Z$6:$Z$21,"*Feb*",ProposedLoans!$M$6:$M$21,ProposedLoansWkst!Q$2)</f>
        <v>0</v>
      </c>
      <c r="R68" s="756">
        <f>SUMIFS(ProposedLoans!$T$6:$T$21,ProposedLoans!$D$6:$D$21,$C$66,ProposedLoans!$Z$6:$Z$21,"*Feb*",ProposedLoans!$M$6:$M$21,ProposedLoansWkst!R$2)</f>
        <v>0</v>
      </c>
      <c r="S68" s="756">
        <f>SUMIFS(ProposedLoans!$T$6:$T$21,ProposedLoans!$D$6:$D$21,$C$66,ProposedLoans!$Z$6:$Z$21,"*Feb*",ProposedLoans!$M$6:$M$21,ProposedLoansWkst!S$2)</f>
        <v>0</v>
      </c>
    </row>
    <row r="69" spans="2:19" x14ac:dyDescent="0.2">
      <c r="B69" s="757" t="s">
        <v>184</v>
      </c>
      <c r="C69" s="758" t="s">
        <v>6</v>
      </c>
      <c r="D69" s="759">
        <f>SUM(ProposedLoansWkst!$I69:$L69)</f>
        <v>0</v>
      </c>
      <c r="E69" s="760">
        <f>SUM(ProposedLoansWkst!$P69:$S69)</f>
        <v>0</v>
      </c>
      <c r="F69" s="760">
        <f>SUM(ProposedLoansWkst!$M69)</f>
        <v>0</v>
      </c>
      <c r="H69" s="757" t="s">
        <v>6</v>
      </c>
      <c r="I69" s="759">
        <f>SUMIFS(ProposedLoans!$S$6:$S$21,ProposedLoans!$D$6:$D$21,$C$66,ProposedLoans!$Z$6:$Z$21,$C69,ProposedLoans!$M$6:$M$21,ProposedLoansWkst!I$2)</f>
        <v>0</v>
      </c>
      <c r="J69" s="760">
        <f>SUMIFS(ProposedLoans!$S$6:$S$21,ProposedLoans!$D$6:$D$21,$C$66,ProposedLoans!$Z$6:$Z$21,"*Mar*",ProposedLoans!$M$6:$M$21,ProposedLoansWkst!J$2)</f>
        <v>0</v>
      </c>
      <c r="K69" s="760">
        <f>SUMIFS(ProposedLoans!$S$6:$S$21,ProposedLoans!$D$6:$D$21,$C$66,ProposedLoans!$Z$6:$Z$21,"*Mar*",ProposedLoans!$M$6:$M$21,ProposedLoansWkst!K$2)</f>
        <v>0</v>
      </c>
      <c r="L69" s="760">
        <f>SUMIFS(ProposedLoans!$S$6:$S$21,ProposedLoans!$D$6:$D$21,$C$66,ProposedLoans!$Z$6:$Z$21,"*Mar*",ProposedLoans!$M$6:$M$21,ProposedLoansWkst!L$2)</f>
        <v>0</v>
      </c>
      <c r="M69" s="760">
        <f>SUMIFS(ProposedLoans!$F$6:$F$21,ProposedLoans!$D$6:$D$21,$C$66,ProposedLoans!$G$6:$G$21,"*Mar*")</f>
        <v>0</v>
      </c>
      <c r="O69" s="757" t="s">
        <v>6</v>
      </c>
      <c r="P69" s="760">
        <f>SUMIFS(ProposedLoans!$T$6:$T$21,ProposedLoans!$D$6:$D$21,$C$66,ProposedLoans!$Z$6:$Z$21,$C69,ProposedLoans!$M$6:$M$21,ProposedLoansWkst!I$2)</f>
        <v>0</v>
      </c>
      <c r="Q69" s="760">
        <f>SUMIFS(ProposedLoans!$T$6:$T$21,ProposedLoans!$D$6:$D$21,$C$66,ProposedLoans!$Z$6:$Z$21,"*Mar*",ProposedLoans!$M$6:$M$21,ProposedLoansWkst!Q$2)</f>
        <v>0</v>
      </c>
      <c r="R69" s="760">
        <f>SUMIFS(ProposedLoans!$T$6:$T$21,ProposedLoans!$D$6:$D$21,$C$66,ProposedLoans!$Z$6:$Z$21,"*Mar*",ProposedLoans!$M$6:$M$21,ProposedLoansWkst!R$2)</f>
        <v>0</v>
      </c>
      <c r="S69" s="760">
        <f>SUMIFS(ProposedLoans!$T$6:$T$21,ProposedLoans!$D$6:$D$21,$C$66,ProposedLoans!$Z$6:$Z$21,"*Mar*",ProposedLoans!$M$6:$M$21,ProposedLoansWkst!S$2)</f>
        <v>0</v>
      </c>
    </row>
    <row r="70" spans="2:19" x14ac:dyDescent="0.2">
      <c r="B70" s="753" t="s">
        <v>185</v>
      </c>
      <c r="C70" s="761" t="s">
        <v>7</v>
      </c>
      <c r="D70" s="755">
        <f>SUM(ProposedLoansWkst!$I70:$L70)</f>
        <v>0</v>
      </c>
      <c r="E70" s="756">
        <f>SUM(ProposedLoansWkst!$P70:$S70)</f>
        <v>0</v>
      </c>
      <c r="F70" s="756">
        <f>SUM(ProposedLoansWkst!$M70)</f>
        <v>0</v>
      </c>
      <c r="H70" s="753" t="s">
        <v>7</v>
      </c>
      <c r="I70" s="755">
        <f>SUMIFS(ProposedLoans!$S$6:$S$21,ProposedLoans!$D$6:$D$21,$C$66,ProposedLoans!$Z$6:$Z$21,$C70,ProposedLoans!$M$6:$M$21,ProposedLoansWkst!I$2)</f>
        <v>0</v>
      </c>
      <c r="J70" s="756">
        <f>SUMIFS(ProposedLoans!$S$6:$S$21,ProposedLoans!$D$6:$D$21,$C$66,ProposedLoans!$Z$6:$Z$21,"*Apr*",ProposedLoans!$M$6:$M$21,ProposedLoansWkst!J$2)</f>
        <v>0</v>
      </c>
      <c r="K70" s="756">
        <f>SUMIFS(ProposedLoans!$S$6:$S$21,ProposedLoans!$D$6:$D$21,$C$66,ProposedLoans!$Z$6:$Z$21,"*Apr*",ProposedLoans!$M$6:$M$21,ProposedLoansWkst!K$2)</f>
        <v>0</v>
      </c>
      <c r="L70" s="756">
        <f>SUMIFS(ProposedLoans!$S$6:$S$21,ProposedLoans!$D$6:$D$21,$C$66,ProposedLoans!$Z$6:$Z$21,"*Apr*",ProposedLoans!$M$6:$M$21,ProposedLoansWkst!L$2)</f>
        <v>0</v>
      </c>
      <c r="M70" s="756">
        <f>SUMIFS(ProposedLoans!$F$6:$F$21,ProposedLoans!$D$6:$D$21,$C$66,ProposedLoans!$G$6:$G$21,"*Apr*")</f>
        <v>0</v>
      </c>
      <c r="O70" s="753" t="s">
        <v>7</v>
      </c>
      <c r="P70" s="756">
        <f>SUMIFS(ProposedLoans!$T$6:$T$21,ProposedLoans!$D$6:$D$21,$C$66,ProposedLoans!$Z$6:$Z$21,$C70,ProposedLoans!$M$6:$M$21,ProposedLoansWkst!I$2)</f>
        <v>0</v>
      </c>
      <c r="Q70" s="756">
        <f>SUMIFS(ProposedLoans!$T$6:$T$21,ProposedLoans!$D$6:$D$21,$C$66,ProposedLoans!$Z$6:$Z$21,"*Apr*",ProposedLoans!$M$6:$M$21,ProposedLoansWkst!Q$2)</f>
        <v>0</v>
      </c>
      <c r="R70" s="756">
        <f>SUMIFS(ProposedLoans!$T$6:$T$21,ProposedLoans!$D$6:$D$21,$C$66,ProposedLoans!$Z$6:$Z$21,"*Apr*",ProposedLoans!$M$6:$M$21,ProposedLoansWkst!R$2)</f>
        <v>0</v>
      </c>
      <c r="S70" s="756">
        <f>SUMIFS(ProposedLoans!$T$6:$T$21,ProposedLoans!$D$6:$D$21,$C$66,ProposedLoans!$Z$6:$Z$21,"*Apr*",ProposedLoans!$M$6:$M$21,ProposedLoansWkst!S$2)</f>
        <v>0</v>
      </c>
    </row>
    <row r="71" spans="2:19" x14ac:dyDescent="0.2">
      <c r="B71" s="757" t="s">
        <v>3</v>
      </c>
      <c r="C71" s="758" t="s">
        <v>3</v>
      </c>
      <c r="D71" s="759">
        <f>SUM(ProposedLoansWkst!$I71:$L71)</f>
        <v>0</v>
      </c>
      <c r="E71" s="760">
        <f>SUM(ProposedLoansWkst!$P71:$S71)</f>
        <v>0</v>
      </c>
      <c r="F71" s="760">
        <f>SUM(ProposedLoansWkst!$M71)</f>
        <v>0</v>
      </c>
      <c r="H71" s="757" t="s">
        <v>3</v>
      </c>
      <c r="I71" s="759">
        <f>SUMIFS(ProposedLoans!$S$6:$S$21,ProposedLoans!$D$6:$D$21,$C$66,ProposedLoans!$Z$6:$Z$21,$C71,ProposedLoans!$M$6:$M$21,ProposedLoansWkst!I$2)</f>
        <v>0</v>
      </c>
      <c r="J71" s="760">
        <f>SUMIFS(ProposedLoans!$S$6:$S$21,ProposedLoans!$D$6:$D$21,$C$66,ProposedLoans!$Z$6:$Z$21,"*May*",ProposedLoans!$M$6:$M$21,ProposedLoansWkst!J$2)</f>
        <v>0</v>
      </c>
      <c r="K71" s="760">
        <f>SUMIFS(ProposedLoans!$S$6:$S$21,ProposedLoans!$D$6:$D$21,$C$66,ProposedLoans!$Z$6:$Z$21,"*May*",ProposedLoans!$M$6:$M$21,ProposedLoansWkst!K$2)</f>
        <v>0</v>
      </c>
      <c r="L71" s="760">
        <f>SUMIFS(ProposedLoans!$S$6:$S$21,ProposedLoans!$D$6:$D$21,$C$66,ProposedLoans!$Z$6:$Z$21,"*May*",ProposedLoans!$M$6:$M$21,ProposedLoansWkst!L$2)</f>
        <v>0</v>
      </c>
      <c r="M71" s="760">
        <f>SUMIFS(ProposedLoans!$F$6:$F$21,ProposedLoans!$D$6:$D$21,$C$66,ProposedLoans!$G$6:$G$21,"*May*")</f>
        <v>0</v>
      </c>
      <c r="O71" s="757" t="s">
        <v>3</v>
      </c>
      <c r="P71" s="760">
        <f>SUMIFS(ProposedLoans!$T$6:$T$21,ProposedLoans!$D$6:$D$21,$C$66,ProposedLoans!$Z$6:$Z$21,$C71,ProposedLoans!$M$6:$M$21,ProposedLoansWkst!I$2)</f>
        <v>0</v>
      </c>
      <c r="Q71" s="760">
        <f>SUMIFS(ProposedLoans!$T$6:$T$21,ProposedLoans!$D$6:$D$21,$C$66,ProposedLoans!$Z$6:$Z$21,"*May*",ProposedLoans!$M$6:$M$21,ProposedLoansWkst!Q$2)</f>
        <v>0</v>
      </c>
      <c r="R71" s="760">
        <f>SUMIFS(ProposedLoans!$T$6:$T$21,ProposedLoans!$D$6:$D$21,$C$66,ProposedLoans!$Z$6:$Z$21,"*May*",ProposedLoans!$M$6:$M$21,ProposedLoansWkst!R$2)</f>
        <v>0</v>
      </c>
      <c r="S71" s="760">
        <f>SUMIFS(ProposedLoans!$T$6:$T$21,ProposedLoans!$D$6:$D$21,$C$66,ProposedLoans!$Z$6:$Z$21,"*May*",ProposedLoans!$M$6:$M$21,ProposedLoansWkst!S$2)</f>
        <v>0</v>
      </c>
    </row>
    <row r="72" spans="2:19" x14ac:dyDescent="0.2">
      <c r="B72" s="753" t="s">
        <v>186</v>
      </c>
      <c r="C72" s="761" t="s">
        <v>8</v>
      </c>
      <c r="D72" s="755">
        <f>SUM(ProposedLoansWkst!$I72:$L72)</f>
        <v>0</v>
      </c>
      <c r="E72" s="756">
        <f>SUM(ProposedLoansWkst!$P72:$S72)</f>
        <v>0</v>
      </c>
      <c r="F72" s="756">
        <f>SUM(ProposedLoansWkst!$M72)</f>
        <v>0</v>
      </c>
      <c r="H72" s="753" t="s">
        <v>8</v>
      </c>
      <c r="I72" s="755">
        <f>SUMIFS(ProposedLoans!$S$6:$S$21,ProposedLoans!$D$6:$D$21,$C$66,ProposedLoans!$Z$6:$Z$21,$C72,ProposedLoans!$M$6:$M$21,ProposedLoansWkst!I$2)</f>
        <v>0</v>
      </c>
      <c r="J72" s="756">
        <f>SUMIFS(ProposedLoans!$S$6:$S$21,ProposedLoans!$D$6:$D$21,$C$66,ProposedLoans!$Z$6:$Z$21,"*Jun*",ProposedLoans!$M$6:$M$21,ProposedLoansWkst!J$2)</f>
        <v>0</v>
      </c>
      <c r="K72" s="756">
        <f>SUMIFS(ProposedLoans!$S$6:$S$21,ProposedLoans!$D$6:$D$21,$C$66,ProposedLoans!$Z$6:$Z$21,"*Jun*",ProposedLoans!$M$6:$M$21,ProposedLoansWkst!K$2)</f>
        <v>0</v>
      </c>
      <c r="L72" s="756">
        <f>SUMIFS(ProposedLoans!$S$6:$S$21,ProposedLoans!$D$6:$D$21,$C$66,ProposedLoans!$Z$6:$Z$21,"*Jun*",ProposedLoans!$M$6:$M$21,ProposedLoansWkst!L$2)</f>
        <v>0</v>
      </c>
      <c r="M72" s="756">
        <f>SUMIFS(ProposedLoans!$F$6:$F$21,ProposedLoans!$D$6:$D$21,$C$66,ProposedLoans!$G$6:$G$21,"*Jun*")</f>
        <v>0</v>
      </c>
      <c r="O72" s="753" t="s">
        <v>8</v>
      </c>
      <c r="P72" s="756">
        <f>SUMIFS(ProposedLoans!$T$6:$T$21,ProposedLoans!$D$6:$D$21,$C$66,ProposedLoans!$Z$6:$Z$21,$C72,ProposedLoans!$M$6:$M$21,ProposedLoansWkst!I$2)</f>
        <v>0</v>
      </c>
      <c r="Q72" s="756">
        <f>SUMIFS(ProposedLoans!$T$6:$T$21,ProposedLoans!$D$6:$D$21,$C$66,ProposedLoans!$Z$6:$Z$21,"*Jun*",ProposedLoans!$M$6:$M$21,ProposedLoansWkst!Q$2)</f>
        <v>0</v>
      </c>
      <c r="R72" s="756">
        <f>SUMIFS(ProposedLoans!$T$6:$T$21,ProposedLoans!$D$6:$D$21,$C$66,ProposedLoans!$Z$6:$Z$21,"*Jun*",ProposedLoans!$M$6:$M$21,ProposedLoansWkst!R$2)</f>
        <v>0</v>
      </c>
      <c r="S72" s="756">
        <f>SUMIFS(ProposedLoans!$T$6:$T$21,ProposedLoans!$D$6:$D$21,$C$66,ProposedLoans!$Z$6:$Z$21,"*Jun*",ProposedLoans!$M$6:$M$21,ProposedLoansWkst!S$2)</f>
        <v>0</v>
      </c>
    </row>
    <row r="73" spans="2:19" x14ac:dyDescent="0.2">
      <c r="B73" s="757" t="s">
        <v>187</v>
      </c>
      <c r="C73" s="758" t="s">
        <v>9</v>
      </c>
      <c r="D73" s="759">
        <f>SUM(ProposedLoansWkst!$I73:$L73)</f>
        <v>0</v>
      </c>
      <c r="E73" s="760">
        <f>SUM(ProposedLoansWkst!$P73:$S73)</f>
        <v>0</v>
      </c>
      <c r="F73" s="760">
        <f>SUM(ProposedLoansWkst!$M73)</f>
        <v>0</v>
      </c>
      <c r="H73" s="757" t="s">
        <v>9</v>
      </c>
      <c r="I73" s="759">
        <f>SUMIFS(ProposedLoans!$S$6:$S$21,ProposedLoans!$D$6:$D$21,$C$66,ProposedLoans!$Z$6:$Z$21,$C73,ProposedLoans!$M$6:$M$21,ProposedLoansWkst!I$2)</f>
        <v>0</v>
      </c>
      <c r="J73" s="760">
        <f>SUMIFS(ProposedLoans!$S$6:$S$21,ProposedLoans!$D$6:$D$21,$C$66,ProposedLoans!$Z$6:$Z$21,"*Jul*",ProposedLoans!$M$6:$M$21,ProposedLoansWkst!J$2)</f>
        <v>0</v>
      </c>
      <c r="K73" s="760">
        <f>SUMIFS(ProposedLoans!$S$6:$S$21,ProposedLoans!$D$6:$D$21,$C$66,ProposedLoans!$Z$6:$Z$21,"*Jul*",ProposedLoans!$M$6:$M$21,ProposedLoansWkst!K$2)</f>
        <v>0</v>
      </c>
      <c r="L73" s="760">
        <f>SUMIFS(ProposedLoans!$S$6:$S$21,ProposedLoans!$D$6:$D$21,$C$66,ProposedLoans!$Z$6:$Z$21,"*Jul*",ProposedLoans!$M$6:$M$21,ProposedLoansWkst!L$2)</f>
        <v>0</v>
      </c>
      <c r="M73" s="760">
        <f>SUMIFS(ProposedLoans!$F$6:$F$21,ProposedLoans!$D$6:$D$21,$C$66,ProposedLoans!$G$6:$G$21,"*Jul*")</f>
        <v>0</v>
      </c>
      <c r="O73" s="757" t="s">
        <v>9</v>
      </c>
      <c r="P73" s="760">
        <f>SUMIFS(ProposedLoans!$T$6:$T$21,ProposedLoans!$D$6:$D$21,$C$66,ProposedLoans!$Z$6:$Z$21,$C73,ProposedLoans!$M$6:$M$21,ProposedLoansWkst!I$2)</f>
        <v>0</v>
      </c>
      <c r="Q73" s="760">
        <f>SUMIFS(ProposedLoans!$T$6:$T$21,ProposedLoans!$D$6:$D$21,$C$66,ProposedLoans!$Z$6:$Z$21,"*Jul*",ProposedLoans!$M$6:$M$21,ProposedLoansWkst!Q$2)</f>
        <v>0</v>
      </c>
      <c r="R73" s="760">
        <f>SUMIFS(ProposedLoans!$T$6:$T$21,ProposedLoans!$D$6:$D$21,$C$66,ProposedLoans!$Z$6:$Z$21,"*Jul*",ProposedLoans!$M$6:$M$21,ProposedLoansWkst!R$2)</f>
        <v>0</v>
      </c>
      <c r="S73" s="760">
        <f>SUMIFS(ProposedLoans!$T$6:$T$21,ProposedLoans!$D$6:$D$21,$C$66,ProposedLoans!$Z$6:$Z$21,"*Jul*",ProposedLoans!$M$6:$M$21,ProposedLoansWkst!S$2)</f>
        <v>0</v>
      </c>
    </row>
    <row r="74" spans="2:19" x14ac:dyDescent="0.2">
      <c r="B74" s="753" t="s">
        <v>188</v>
      </c>
      <c r="C74" s="761" t="s">
        <v>10</v>
      </c>
      <c r="D74" s="755">
        <f>SUM(ProposedLoansWkst!$I74:$L74)</f>
        <v>0</v>
      </c>
      <c r="E74" s="756">
        <f>SUM(ProposedLoansWkst!$P74:$S74)</f>
        <v>0</v>
      </c>
      <c r="F74" s="756">
        <f>SUM(ProposedLoansWkst!$M74)</f>
        <v>0</v>
      </c>
      <c r="H74" s="753" t="s">
        <v>10</v>
      </c>
      <c r="I74" s="755">
        <f>SUMIFS(ProposedLoans!$S$6:$S$21,ProposedLoans!$D$6:$D$21,$C$66,ProposedLoans!$Z$6:$Z$21,$C74,ProposedLoans!$M$6:$M$21,ProposedLoansWkst!I$2)</f>
        <v>0</v>
      </c>
      <c r="J74" s="756">
        <f>SUMIFS(ProposedLoans!$S$6:$S$21,ProposedLoans!$D$6:$D$21,$C$66,ProposedLoans!$Z$6:$Z$21,"*Aug*",ProposedLoans!$M$6:$M$21,ProposedLoansWkst!J$2)</f>
        <v>0</v>
      </c>
      <c r="K74" s="756">
        <f>SUMIFS(ProposedLoans!$S$6:$S$21,ProposedLoans!$D$6:$D$21,$C$66,ProposedLoans!$Z$6:$Z$21,"*Aug*",ProposedLoans!$M$6:$M$21,ProposedLoansWkst!K$2)</f>
        <v>0</v>
      </c>
      <c r="L74" s="756">
        <f>SUMIFS(ProposedLoans!$S$6:$S$21,ProposedLoans!$D$6:$D$21,$C$66,ProposedLoans!$Z$6:$Z$21,"*Aug*",ProposedLoans!$M$6:$M$21,ProposedLoansWkst!L$2)</f>
        <v>0</v>
      </c>
      <c r="M74" s="756">
        <f>SUMIFS(ProposedLoans!$F$6:$F$21,ProposedLoans!$D$6:$D$21,$C$66,ProposedLoans!$G$6:$G$21,"*Aug*")</f>
        <v>0</v>
      </c>
      <c r="O74" s="753" t="s">
        <v>10</v>
      </c>
      <c r="P74" s="756">
        <f>SUMIFS(ProposedLoans!$T$6:$T$21,ProposedLoans!$D$6:$D$21,$C$66,ProposedLoans!$Z$6:$Z$21,$C74,ProposedLoans!$M$6:$M$21,ProposedLoansWkst!I$2)</f>
        <v>0</v>
      </c>
      <c r="Q74" s="756">
        <f>SUMIFS(ProposedLoans!$T$6:$T$21,ProposedLoans!$D$6:$D$21,$C$66,ProposedLoans!$Z$6:$Z$21,"*Aug*",ProposedLoans!$M$6:$M$21,ProposedLoansWkst!Q$2)</f>
        <v>0</v>
      </c>
      <c r="R74" s="756">
        <f>SUMIFS(ProposedLoans!$T$6:$T$21,ProposedLoans!$D$6:$D$21,$C$66,ProposedLoans!$Z$6:$Z$21,"*Aug*",ProposedLoans!$M$6:$M$21,ProposedLoansWkst!R$2)</f>
        <v>0</v>
      </c>
      <c r="S74" s="756">
        <f>SUMIFS(ProposedLoans!$T$6:$T$21,ProposedLoans!$D$6:$D$21,$C$66,ProposedLoans!$Z$6:$Z$21,"*Aug*",ProposedLoans!$M$6:$M$21,ProposedLoansWkst!S$2)</f>
        <v>0</v>
      </c>
    </row>
    <row r="75" spans="2:19" x14ac:dyDescent="0.2">
      <c r="B75" s="757" t="s">
        <v>189</v>
      </c>
      <c r="C75" s="758" t="s">
        <v>11</v>
      </c>
      <c r="D75" s="759">
        <f>SUM(ProposedLoansWkst!$I75:$L75)</f>
        <v>0</v>
      </c>
      <c r="E75" s="760">
        <f>SUM(ProposedLoansWkst!$P75:$S75)</f>
        <v>0</v>
      </c>
      <c r="F75" s="760">
        <f>SUM(ProposedLoansWkst!$M75)</f>
        <v>0</v>
      </c>
      <c r="H75" s="757" t="s">
        <v>11</v>
      </c>
      <c r="I75" s="759">
        <f>SUMIFS(ProposedLoans!$S$6:$S$21,ProposedLoans!$D$6:$D$21,$C$66,ProposedLoans!$Z$6:$Z$21,$C75,ProposedLoans!$M$6:$M$21,ProposedLoansWkst!I$2)</f>
        <v>0</v>
      </c>
      <c r="J75" s="760">
        <f>SUMIFS(ProposedLoans!$S$6:$S$21,ProposedLoans!$D$6:$D$21,$C$66,ProposedLoans!$Z$6:$Z$21,"*Sep*",ProposedLoans!$M$6:$M$21,ProposedLoansWkst!J$2)</f>
        <v>0</v>
      </c>
      <c r="K75" s="760">
        <f>SUMIFS(ProposedLoans!$S$6:$S$21,ProposedLoans!$D$6:$D$21,$C$66,ProposedLoans!$Z$6:$Z$21,"*Sep*",ProposedLoans!$M$6:$M$21,ProposedLoansWkst!K$2)</f>
        <v>0</v>
      </c>
      <c r="L75" s="760">
        <f>SUMIFS(ProposedLoans!$S$6:$S$21,ProposedLoans!$D$6:$D$21,$C$66,ProposedLoans!$Z$6:$Z$21,"*Sep*",ProposedLoans!$M$6:$M$21,ProposedLoansWkst!L$2)</f>
        <v>0</v>
      </c>
      <c r="M75" s="760">
        <f>SUMIFS(ProposedLoans!$F$6:$F$21,ProposedLoans!$D$6:$D$21,$C$66,ProposedLoans!$G$6:$G$21,"*Sep*")</f>
        <v>0</v>
      </c>
      <c r="O75" s="757" t="s">
        <v>11</v>
      </c>
      <c r="P75" s="760">
        <f>SUMIFS(ProposedLoans!$T$6:$T$21,ProposedLoans!$D$6:$D$21,$C$66,ProposedLoans!$Z$6:$Z$21,$C75,ProposedLoans!$M$6:$M$21,ProposedLoansWkst!I$2)</f>
        <v>0</v>
      </c>
      <c r="Q75" s="760">
        <f>SUMIFS(ProposedLoans!$T$6:$T$21,ProposedLoans!$D$6:$D$21,$C$66,ProposedLoans!$Z$6:$Z$21,"*Sep*",ProposedLoans!$M$6:$M$21,ProposedLoansWkst!Q$2)</f>
        <v>0</v>
      </c>
      <c r="R75" s="760">
        <f>SUMIFS(ProposedLoans!$T$6:$T$21,ProposedLoans!$D$6:$D$21,$C$66,ProposedLoans!$Z$6:$Z$21,"*Sep*",ProposedLoans!$M$6:$M$21,ProposedLoansWkst!R$2)</f>
        <v>0</v>
      </c>
      <c r="S75" s="760">
        <f>SUMIFS(ProposedLoans!$T$6:$T$21,ProposedLoans!$D$6:$D$21,$C$66,ProposedLoans!$Z$6:$Z$21,"*Sep*",ProposedLoans!$M$6:$M$21,ProposedLoansWkst!S$2)</f>
        <v>0</v>
      </c>
    </row>
    <row r="76" spans="2:19" x14ac:dyDescent="0.2">
      <c r="B76" s="753" t="s">
        <v>190</v>
      </c>
      <c r="C76" s="761" t="s">
        <v>12</v>
      </c>
      <c r="D76" s="755">
        <f>SUM(ProposedLoansWkst!$I76:$L76)</f>
        <v>0</v>
      </c>
      <c r="E76" s="756">
        <f>SUM(ProposedLoansWkst!$P76:$S76)</f>
        <v>0</v>
      </c>
      <c r="F76" s="756">
        <f>SUM(ProposedLoansWkst!$M76)</f>
        <v>0</v>
      </c>
      <c r="H76" s="753" t="s">
        <v>12</v>
      </c>
      <c r="I76" s="755">
        <f>SUMIFS(ProposedLoans!$S$6:$S$21,ProposedLoans!$D$6:$D$21,$C$66,ProposedLoans!$Z$6:$Z$21,$C76,ProposedLoans!$M$6:$M$21,ProposedLoansWkst!I$2)</f>
        <v>0</v>
      </c>
      <c r="J76" s="756">
        <f>SUMIFS(ProposedLoans!$S$6:$S$21,ProposedLoans!$D$6:$D$21,$C$66,ProposedLoans!$Z$6:$Z$21,"*Oct*",ProposedLoans!$M$6:$M$21,ProposedLoansWkst!J$2)</f>
        <v>0</v>
      </c>
      <c r="K76" s="756">
        <f>SUMIFS(ProposedLoans!$S$6:$S$21,ProposedLoans!$D$6:$D$21,$C$66,ProposedLoans!$Z$6:$Z$21,"*Oct*",ProposedLoans!$M$6:$M$21,ProposedLoansWkst!K$2)</f>
        <v>0</v>
      </c>
      <c r="L76" s="756">
        <f>SUMIFS(ProposedLoans!$S$6:$S$21,ProposedLoans!$D$6:$D$21,$C$66,ProposedLoans!$Z$6:$Z$21,"*Oct*",ProposedLoans!$M$6:$M$21,ProposedLoansWkst!L$2)</f>
        <v>0</v>
      </c>
      <c r="M76" s="756">
        <f>SUMIFS(ProposedLoans!$F$6:$F$21,ProposedLoans!$D$6:$D$21,$C$66,ProposedLoans!$G$6:$G$21,"*Oct*")</f>
        <v>0</v>
      </c>
      <c r="O76" s="753" t="s">
        <v>12</v>
      </c>
      <c r="P76" s="756">
        <f>SUMIFS(ProposedLoans!$T$6:$T$21,ProposedLoans!$D$6:$D$21,$C$66,ProposedLoans!$Z$6:$Z$21,$C76,ProposedLoans!$M$6:$M$21,ProposedLoansWkst!I$2)</f>
        <v>0</v>
      </c>
      <c r="Q76" s="756">
        <f>SUMIFS(ProposedLoans!$T$6:$T$21,ProposedLoans!$D$6:$D$21,$C$66,ProposedLoans!$Z$6:$Z$21,"*Oct*",ProposedLoans!$M$6:$M$21,ProposedLoansWkst!Q$2)</f>
        <v>0</v>
      </c>
      <c r="R76" s="756">
        <f>SUMIFS(ProposedLoans!$T$6:$T$21,ProposedLoans!$D$6:$D$21,$C$66,ProposedLoans!$Z$6:$Z$21,"*Oct*",ProposedLoans!$M$6:$M$21,ProposedLoansWkst!R$2)</f>
        <v>0</v>
      </c>
      <c r="S76" s="756">
        <f>SUMIFS(ProposedLoans!$T$6:$T$21,ProposedLoans!$D$6:$D$21,$C$66,ProposedLoans!$Z$6:$Z$21,"*Oct*",ProposedLoans!$M$6:$M$21,ProposedLoansWkst!S$2)</f>
        <v>0</v>
      </c>
    </row>
    <row r="77" spans="2:19" x14ac:dyDescent="0.2">
      <c r="B77" s="757" t="s">
        <v>191</v>
      </c>
      <c r="C77" s="758" t="s">
        <v>13</v>
      </c>
      <c r="D77" s="759">
        <f>SUM(ProposedLoansWkst!$I77:$L77)</f>
        <v>0</v>
      </c>
      <c r="E77" s="760">
        <f>SUM(ProposedLoansWkst!$P77:$S77)</f>
        <v>0</v>
      </c>
      <c r="F77" s="760">
        <f>SUM(ProposedLoansWkst!$M77)</f>
        <v>0</v>
      </c>
      <c r="H77" s="757" t="s">
        <v>13</v>
      </c>
      <c r="I77" s="759">
        <f>SUMIFS(ProposedLoans!$S$6:$S$21,ProposedLoans!$D$6:$D$21,$C$66,ProposedLoans!$Z$6:$Z$21,$C77,ProposedLoans!$M$6:$M$21,ProposedLoansWkst!I$2)</f>
        <v>0</v>
      </c>
      <c r="J77" s="760">
        <f>SUMIFS(ProposedLoans!$S$6:$S$21,ProposedLoans!$D$6:$D$21,$C$66,ProposedLoans!$Z$6:$Z$21,"*Nov*",ProposedLoans!$M$6:$M$21,ProposedLoansWkst!J$2)</f>
        <v>0</v>
      </c>
      <c r="K77" s="760">
        <f>SUMIFS(ProposedLoans!$S$6:$S$21,ProposedLoans!$D$6:$D$21,$C$66,ProposedLoans!$Z$6:$Z$21,"*Nov*",ProposedLoans!$M$6:$M$21,ProposedLoansWkst!K$2)</f>
        <v>0</v>
      </c>
      <c r="L77" s="760">
        <f>SUMIFS(ProposedLoans!$S$6:$S$21,ProposedLoans!$D$6:$D$21,$C$66,ProposedLoans!$Z$6:$Z$21,"*Nov*",ProposedLoans!$M$6:$M$21,ProposedLoansWkst!L$2)</f>
        <v>0</v>
      </c>
      <c r="M77" s="760">
        <f>SUMIFS(ProposedLoans!$F$6:$F$21,ProposedLoans!$D$6:$D$21,$C$66,ProposedLoans!$G$6:$G$21,"*Nov*")</f>
        <v>0</v>
      </c>
      <c r="O77" s="757" t="s">
        <v>13</v>
      </c>
      <c r="P77" s="760">
        <f>SUMIFS(ProposedLoans!$T$6:$T$21,ProposedLoans!$D$6:$D$21,$C$66,ProposedLoans!$Z$6:$Z$21,$C77,ProposedLoans!$M$6:$M$21,ProposedLoansWkst!I$2)</f>
        <v>0</v>
      </c>
      <c r="Q77" s="760">
        <f>SUMIFS(ProposedLoans!$T$6:$T$21,ProposedLoans!$D$6:$D$21,$C$66,ProposedLoans!$Z$6:$Z$21,"*Nov*",ProposedLoans!$M$6:$M$21,ProposedLoansWkst!Q$2)</f>
        <v>0</v>
      </c>
      <c r="R77" s="760">
        <f>SUMIFS(ProposedLoans!$T$6:$T$21,ProposedLoans!$D$6:$D$21,$C$66,ProposedLoans!$Z$6:$Z$21,"*Nov*",ProposedLoans!$M$6:$M$21,ProposedLoansWkst!R$2)</f>
        <v>0</v>
      </c>
      <c r="S77" s="760">
        <f>SUMIFS(ProposedLoans!$T$6:$T$21,ProposedLoans!$D$6:$D$21,$C$66,ProposedLoans!$Z$6:$Z$21,"*Nov*",ProposedLoans!$M$6:$M$21,ProposedLoansWkst!S$2)</f>
        <v>0</v>
      </c>
    </row>
    <row r="78" spans="2:19" ht="13.5" thickBot="1" x14ac:dyDescent="0.25">
      <c r="B78" s="753" t="s">
        <v>192</v>
      </c>
      <c r="C78" s="761" t="s">
        <v>14</v>
      </c>
      <c r="D78" s="755">
        <f>SUM(ProposedLoansWkst!$I78:$L78)</f>
        <v>0</v>
      </c>
      <c r="E78" s="756">
        <f>SUM(ProposedLoansWkst!$P78:$S78)</f>
        <v>0</v>
      </c>
      <c r="F78" s="756">
        <f>SUM(ProposedLoansWkst!$M78)</f>
        <v>0</v>
      </c>
      <c r="H78" s="753" t="s">
        <v>14</v>
      </c>
      <c r="I78" s="755">
        <f>SUMIFS(ProposedLoans!$S$6:$S$21,ProposedLoans!$D$6:$D$21,$C$66,ProposedLoans!$Z$6:$Z$21,$C78,ProposedLoans!$M$6:$M$21,ProposedLoansWkst!I$2)</f>
        <v>0</v>
      </c>
      <c r="J78" s="756">
        <f>SUMIFS(ProposedLoans!$S$6:$S$21,ProposedLoans!$D$6:$D$21,$C$66,ProposedLoans!$Z$6:$Z$21,"*Dec*",ProposedLoans!$M$6:$M$21,ProposedLoansWkst!J$2)</f>
        <v>0</v>
      </c>
      <c r="K78" s="756">
        <f>SUMIFS(ProposedLoans!$S$6:$S$21,ProposedLoans!$D$6:$D$21,$C$66,ProposedLoans!$Z$6:$Z$21,"*Dec*",ProposedLoans!$M$6:$M$21,ProposedLoansWkst!K$2)</f>
        <v>0</v>
      </c>
      <c r="L78" s="756">
        <f>SUMIFS(ProposedLoans!$S$6:$S$21,ProposedLoans!$D$6:$D$21,$C$66,ProposedLoans!$Z$6:$Z$21,"*Dec*",ProposedLoans!$M$6:$M$21,ProposedLoansWkst!L$2)</f>
        <v>0</v>
      </c>
      <c r="M78" s="756">
        <f>SUMIFS(ProposedLoans!$F$6:$F$21,ProposedLoans!$D$6:$D$21,$C$66,ProposedLoans!$G$6:$G$21,"*Dec*")</f>
        <v>0</v>
      </c>
      <c r="O78" s="753" t="s">
        <v>14</v>
      </c>
      <c r="P78" s="756">
        <f>SUMIFS(ProposedLoans!$T$6:$T$21,ProposedLoans!$D$6:$D$21,$C$66,ProposedLoans!$Z$6:$Z$21,$C78,ProposedLoans!$M$6:$M$21,ProposedLoansWkst!I$2)</f>
        <v>0</v>
      </c>
      <c r="Q78" s="756">
        <f>SUMIFS(ProposedLoans!$T$6:$T$21,ProposedLoans!$D$6:$D$21,$C$66,ProposedLoans!$Z$6:$Z$21,"*Dec*",ProposedLoans!$M$6:$M$21,ProposedLoansWkst!Q$2)</f>
        <v>0</v>
      </c>
      <c r="R78" s="756">
        <f>SUMIFS(ProposedLoans!$T$6:$T$21,ProposedLoans!$D$6:$D$21,$C$66,ProposedLoans!$Z$6:$Z$21,"*Dec*",ProposedLoans!$M$6:$M$21,ProposedLoansWkst!R$2)</f>
        <v>0</v>
      </c>
      <c r="S78" s="756">
        <f>SUMIFS(ProposedLoans!$T$6:$T$21,ProposedLoans!$D$6:$D$21,$C$66,ProposedLoans!$Z$6:$Z$21,"*Dec*",ProposedLoans!$M$6:$M$21,ProposedLoansWkst!S$2)</f>
        <v>0</v>
      </c>
    </row>
    <row r="79" spans="2:19" ht="13.5" thickTop="1" x14ac:dyDescent="0.2">
      <c r="B79" s="762"/>
      <c r="C79" s="763"/>
      <c r="D79" s="764">
        <f>SUM(ProposedLoansWkst!$D$67:$D$78)</f>
        <v>0</v>
      </c>
      <c r="E79" s="746">
        <f>SUM(ProposedLoansWkst!$E$67:$E$78)</f>
        <v>0</v>
      </c>
      <c r="F79" s="745">
        <f>SUM(ProposedLoansWkst!$F$67:$F$78)</f>
        <v>0</v>
      </c>
      <c r="H79" s="767"/>
      <c r="I79" s="745">
        <f>SUM(ProposedLoansWkst!$I$67:$I$78)</f>
        <v>0</v>
      </c>
      <c r="J79" s="745">
        <f>SUM(ProposedLoansWkst!$J$67:$J$78)</f>
        <v>0</v>
      </c>
      <c r="K79" s="745">
        <f>SUM(ProposedLoansWkst!$K$67:$K$78)</f>
        <v>0</v>
      </c>
      <c r="L79" s="745">
        <f>SUM(ProposedLoansWkst!$L$67:$L$78)</f>
        <v>0</v>
      </c>
      <c r="M79" s="745">
        <f>SUM(ProposedLoansWkst!$M$67:$M$78)</f>
        <v>0</v>
      </c>
      <c r="O79" s="767"/>
      <c r="P79" s="745">
        <f>SUM(ProposedLoansWkst!$P$67:$P$78)</f>
        <v>0</v>
      </c>
      <c r="Q79" s="745">
        <f>SUM(ProposedLoansWkst!$Q$67:$Q$78)</f>
        <v>0</v>
      </c>
      <c r="R79" s="745">
        <f>SUM(ProposedLoansWkst!$R$67:$R$78)</f>
        <v>0</v>
      </c>
      <c r="S79" s="745">
        <f>SUM(ProposedLoansWkst!$S$67:$S$78)</f>
        <v>0</v>
      </c>
    </row>
    <row r="82" spans="2:19" ht="13.5" thickBot="1" x14ac:dyDescent="0.25">
      <c r="B82" s="747" t="s">
        <v>125</v>
      </c>
      <c r="C82" s="748" t="s">
        <v>211</v>
      </c>
      <c r="D82" s="748" t="s">
        <v>175</v>
      </c>
      <c r="E82" s="748" t="s">
        <v>176</v>
      </c>
      <c r="F82" s="748" t="s">
        <v>209</v>
      </c>
      <c r="H82" s="747" t="s">
        <v>196</v>
      </c>
      <c r="I82" s="748" t="s">
        <v>104</v>
      </c>
      <c r="J82" s="748" t="s">
        <v>102</v>
      </c>
      <c r="K82" s="748" t="s">
        <v>100</v>
      </c>
      <c r="L82" s="748" t="s">
        <v>99</v>
      </c>
      <c r="M82" s="748" t="s">
        <v>209</v>
      </c>
      <c r="N82" s="57"/>
      <c r="O82" s="747" t="s">
        <v>196</v>
      </c>
      <c r="P82" s="768" t="s">
        <v>104</v>
      </c>
      <c r="Q82" s="768" t="s">
        <v>102</v>
      </c>
      <c r="R82" s="768" t="s">
        <v>100</v>
      </c>
      <c r="S82" s="768" t="s">
        <v>99</v>
      </c>
    </row>
    <row r="83" spans="2:19" ht="13.5" thickTop="1" x14ac:dyDescent="0.2">
      <c r="B83" s="749" t="s">
        <v>182</v>
      </c>
      <c r="C83" s="750" t="s">
        <v>4</v>
      </c>
      <c r="D83" s="751">
        <f>SUM(ProposedLoansWkst!$I83:$L83)</f>
        <v>0</v>
      </c>
      <c r="E83" s="752">
        <f>SUM(ProposedLoansWkst!$P83:$S83)</f>
        <v>0</v>
      </c>
      <c r="F83" s="752">
        <f>SUM(ProposedLoansWkst!$M83)</f>
        <v>0</v>
      </c>
      <c r="H83" s="765" t="s">
        <v>4</v>
      </c>
      <c r="I83" s="751">
        <f>SUMIFS(ProposedLoans!$S$6:$S$21,ProposedLoans!$D$6:$D$21,$C$82,ProposedLoans!$Z$6:$Z$21,$C83,ProposedLoans!$M$6:$M$21,ProposedLoansWkst!I$2)</f>
        <v>0</v>
      </c>
      <c r="J83" s="752">
        <f>SUMIFS(ProposedLoans!$S$6:$S$21,ProposedLoans!$D$6:$D$21,$C$82,ProposedLoans!$Z$6:$Z$21,"*Jan*",ProposedLoans!$M$6:$M$21,ProposedLoansWkst!J$2)</f>
        <v>0</v>
      </c>
      <c r="K83" s="752">
        <f>SUMIFS(ProposedLoans!$S$6:$S$21,ProposedLoans!$D$6:$D$21,$C$82,ProposedLoans!$Z$6:$Z$21,"*Jan*",ProposedLoans!$M$6:$M$21,ProposedLoansWkst!K$2)</f>
        <v>0</v>
      </c>
      <c r="L83" s="752">
        <f>SUMIFS(ProposedLoans!$S$6:$S$21,ProposedLoans!$D$6:$D$21,$C$82,ProposedLoans!$Z$6:$Z$21,"*Jan*",ProposedLoans!$M$6:$M$21,ProposedLoansWkst!L$2)</f>
        <v>0</v>
      </c>
      <c r="M83" s="752">
        <f>SUMIFS(ProposedLoans!$F$6:$F$21,ProposedLoans!$D$6:$D$21,$C$82,ProposedLoans!$G$6:$G$21,"*Jan*")</f>
        <v>0</v>
      </c>
      <c r="O83" s="765" t="s">
        <v>4</v>
      </c>
      <c r="P83" s="752">
        <f>SUMIFS(ProposedLoans!$T$6:$T$21,ProposedLoans!$D$6:$D$21,$C$82,ProposedLoans!$Z$6:$Z$21,$C83,ProposedLoans!$M$6:$M$21,ProposedLoansWkst!I$2)</f>
        <v>0</v>
      </c>
      <c r="Q83" s="752">
        <f>SUMIFS(ProposedLoans!$T$6:$T$21,ProposedLoans!$D$6:$D$21,$C$82,ProposedLoans!$Z$6:$Z$21,"*Jan*",ProposedLoans!$M$6:$M$21,ProposedLoansWkst!Q$2)</f>
        <v>0</v>
      </c>
      <c r="R83" s="752">
        <f>SUMIFS(ProposedLoans!$T$6:$T$21,ProposedLoans!$D$6:$D$21,$C$82,ProposedLoans!$Z$6:$Z$21,"*Jan*",ProposedLoans!$M$6:$M$21,ProposedLoansWkst!R$2)</f>
        <v>0</v>
      </c>
      <c r="S83" s="752">
        <f>SUMIFS(ProposedLoans!$T$6:$T$21,ProposedLoans!$D$6:$D$21,$C$82,ProposedLoans!$Z$6:$Z$21,"*Jan*",ProposedLoans!$M$6:$M$21,ProposedLoansWkst!S$2)</f>
        <v>0</v>
      </c>
    </row>
    <row r="84" spans="2:19" x14ac:dyDescent="0.2">
      <c r="B84" s="753" t="s">
        <v>183</v>
      </c>
      <c r="C84" s="754" t="s">
        <v>5</v>
      </c>
      <c r="D84" s="755">
        <f>SUM(ProposedLoansWkst!$I84:$L84)</f>
        <v>0</v>
      </c>
      <c r="E84" s="756">
        <f>SUM(ProposedLoansWkst!$P84:$S84)</f>
        <v>0</v>
      </c>
      <c r="F84" s="756">
        <f>SUM(ProposedLoansWkst!$M84)</f>
        <v>0</v>
      </c>
      <c r="H84" s="766" t="s">
        <v>5</v>
      </c>
      <c r="I84" s="755">
        <f>SUMIFS(ProposedLoans!$S$6:$S$21,ProposedLoans!$D$6:$D$21,$C$82,ProposedLoans!$Z$6:$Z$21,$C84,ProposedLoans!$M$6:$M$21,ProposedLoansWkst!I$2)</f>
        <v>0</v>
      </c>
      <c r="J84" s="756">
        <f>SUMIFS(ProposedLoans!$S$6:$S$21,ProposedLoans!$D$6:$D$21,$C$82,ProposedLoans!$Z$6:$Z$21,"*Feb*",ProposedLoans!$M$6:$M$21,ProposedLoansWkst!J$2)</f>
        <v>0</v>
      </c>
      <c r="K84" s="756">
        <f>SUMIFS(ProposedLoans!$S$6:$S$21,ProposedLoans!$D$6:$D$21,$C$82,ProposedLoans!$Z$6:$Z$21,"*Feb*",ProposedLoans!$M$6:$M$21,ProposedLoansWkst!K$2)</f>
        <v>0</v>
      </c>
      <c r="L84" s="756">
        <f>SUMIFS(ProposedLoans!$S$6:$S$21,ProposedLoans!$D$6:$D$21,$C$82,ProposedLoans!$Z$6:$Z$21,"*Feb*",ProposedLoans!$M$6:$M$21,ProposedLoansWkst!L$2)</f>
        <v>0</v>
      </c>
      <c r="M84" s="756">
        <f>SUMIFS(ProposedLoans!$F$6:$F$21,ProposedLoans!$D$6:$D$21,$C$82,ProposedLoans!$G$6:$G$21,"*Feb*")</f>
        <v>0</v>
      </c>
      <c r="O84" s="766" t="s">
        <v>5</v>
      </c>
      <c r="P84" s="756">
        <f>SUMIFS(ProposedLoans!$T$6:$T$21,ProposedLoans!$D$6:$D$21,$C$82,ProposedLoans!$Z$6:$Z$21,$C84,ProposedLoans!$M$6:$M$21,ProposedLoansWkst!I$2)</f>
        <v>0</v>
      </c>
      <c r="Q84" s="756">
        <f>SUMIFS(ProposedLoans!$T$6:$T$21,ProposedLoans!$D$6:$D$21,$C$82,ProposedLoans!$Z$6:$Z$21,"*Feb*",ProposedLoans!$M$6:$M$21,ProposedLoansWkst!Q$2)</f>
        <v>0</v>
      </c>
      <c r="R84" s="756">
        <f>SUMIFS(ProposedLoans!$T$6:$T$21,ProposedLoans!$D$6:$D$21,$C$82,ProposedLoans!$Z$6:$Z$21,"*Feb*",ProposedLoans!$M$6:$M$21,ProposedLoansWkst!R$2)</f>
        <v>0</v>
      </c>
      <c r="S84" s="756">
        <f>SUMIFS(ProposedLoans!$T$6:$T$21,ProposedLoans!$D$6:$D$21,$C$82,ProposedLoans!$Z$6:$Z$21,"*Feb*",ProposedLoans!$M$6:$M$21,ProposedLoansWkst!S$2)</f>
        <v>0</v>
      </c>
    </row>
    <row r="85" spans="2:19" x14ac:dyDescent="0.2">
      <c r="B85" s="757" t="s">
        <v>184</v>
      </c>
      <c r="C85" s="758" t="s">
        <v>6</v>
      </c>
      <c r="D85" s="759">
        <f>SUM(ProposedLoansWkst!$I85:$L85)</f>
        <v>0</v>
      </c>
      <c r="E85" s="760">
        <f>SUM(ProposedLoansWkst!$P85:$S85)</f>
        <v>0</v>
      </c>
      <c r="F85" s="760">
        <f>SUM(ProposedLoansWkst!$M85)</f>
        <v>0</v>
      </c>
      <c r="H85" s="757" t="s">
        <v>6</v>
      </c>
      <c r="I85" s="759">
        <f>SUMIFS(ProposedLoans!$S$6:$S$21,ProposedLoans!$D$6:$D$21,$C$82,ProposedLoans!$Z$6:$Z$21,$C85,ProposedLoans!$M$6:$M$21,ProposedLoansWkst!I$2)</f>
        <v>0</v>
      </c>
      <c r="J85" s="760">
        <f>SUMIFS(ProposedLoans!$S$6:$S$21,ProposedLoans!$D$6:$D$21,$C$82,ProposedLoans!$Z$6:$Z$21,"*Mar*",ProposedLoans!$M$6:$M$21,ProposedLoansWkst!J$2)</f>
        <v>0</v>
      </c>
      <c r="K85" s="760">
        <f>SUMIFS(ProposedLoans!$S$6:$S$21,ProposedLoans!$D$6:$D$21,$C$82,ProposedLoans!$Z$6:$Z$21,"*Mar*",ProposedLoans!$M$6:$M$21,ProposedLoansWkst!K$2)</f>
        <v>0</v>
      </c>
      <c r="L85" s="760">
        <f>SUMIFS(ProposedLoans!$S$6:$S$21,ProposedLoans!$D$6:$D$21,$C$82,ProposedLoans!$Z$6:$Z$21,"*Mar*",ProposedLoans!$M$6:$M$21,ProposedLoansWkst!L$2)</f>
        <v>0</v>
      </c>
      <c r="M85" s="760">
        <f>SUMIFS(ProposedLoans!$F$6:$F$21,ProposedLoans!$D$6:$D$21,$C$82,ProposedLoans!$G$6:$G$21,"*Mar*")</f>
        <v>0</v>
      </c>
      <c r="O85" s="757" t="s">
        <v>6</v>
      </c>
      <c r="P85" s="760">
        <f>SUMIFS(ProposedLoans!$T$6:$T$21,ProposedLoans!$D$6:$D$21,$C$82,ProposedLoans!$Z$6:$Z$21,$C85,ProposedLoans!$M$6:$M$21,ProposedLoansWkst!I$2)</f>
        <v>0</v>
      </c>
      <c r="Q85" s="760">
        <f>SUMIFS(ProposedLoans!$T$6:$T$21,ProposedLoans!$D$6:$D$21,$C$82,ProposedLoans!$Z$6:$Z$21,"*Mar*",ProposedLoans!$M$6:$M$21,ProposedLoansWkst!Q$2)</f>
        <v>0</v>
      </c>
      <c r="R85" s="760">
        <f>SUMIFS(ProposedLoans!$T$6:$T$21,ProposedLoans!$D$6:$D$21,$C$82,ProposedLoans!$Z$6:$Z$21,"*Mar*",ProposedLoans!$M$6:$M$21,ProposedLoansWkst!R$2)</f>
        <v>0</v>
      </c>
      <c r="S85" s="760">
        <f>SUMIFS(ProposedLoans!$T$6:$T$21,ProposedLoans!$D$6:$D$21,$C$82,ProposedLoans!$Z$6:$Z$21,"*Mar*",ProposedLoans!$M$6:$M$21,ProposedLoansWkst!S$2)</f>
        <v>0</v>
      </c>
    </row>
    <row r="86" spans="2:19" x14ac:dyDescent="0.2">
      <c r="B86" s="753" t="s">
        <v>185</v>
      </c>
      <c r="C86" s="761" t="s">
        <v>7</v>
      </c>
      <c r="D86" s="755">
        <f>SUM(ProposedLoansWkst!$I86:$L86)</f>
        <v>0</v>
      </c>
      <c r="E86" s="756">
        <f>SUM(ProposedLoansWkst!$P86:$S86)</f>
        <v>0</v>
      </c>
      <c r="F86" s="756">
        <f>SUM(ProposedLoansWkst!$M86)</f>
        <v>0</v>
      </c>
      <c r="H86" s="753" t="s">
        <v>7</v>
      </c>
      <c r="I86" s="755">
        <f>SUMIFS(ProposedLoans!$S$6:$S$21,ProposedLoans!$D$6:$D$21,$C$82,ProposedLoans!$Z$6:$Z$21,$C86,ProposedLoans!$M$6:$M$21,ProposedLoansWkst!I$2)</f>
        <v>0</v>
      </c>
      <c r="J86" s="756">
        <f>SUMIFS(ProposedLoans!$S$6:$S$21,ProposedLoans!$D$6:$D$21,$C$82,ProposedLoans!$Z$6:$Z$21,"*Apr*",ProposedLoans!$M$6:$M$21,ProposedLoansWkst!J$2)</f>
        <v>0</v>
      </c>
      <c r="K86" s="756">
        <f>SUMIFS(ProposedLoans!$S$6:$S$21,ProposedLoans!$D$6:$D$21,$C$82,ProposedLoans!$Z$6:$Z$21,"*Apr*",ProposedLoans!$M$6:$M$21,ProposedLoansWkst!K$2)</f>
        <v>0</v>
      </c>
      <c r="L86" s="756">
        <f>SUMIFS(ProposedLoans!$S$6:$S$21,ProposedLoans!$D$6:$D$21,$C$82,ProposedLoans!$Z$6:$Z$21,"*Apr*",ProposedLoans!$M$6:$M$21,ProposedLoansWkst!L$2)</f>
        <v>0</v>
      </c>
      <c r="M86" s="756">
        <f>SUMIFS(ProposedLoans!$F$6:$F$21,ProposedLoans!$D$6:$D$21,$C$82,ProposedLoans!$G$6:$G$21,"*Apr*")</f>
        <v>0</v>
      </c>
      <c r="O86" s="753" t="s">
        <v>7</v>
      </c>
      <c r="P86" s="756">
        <f>SUMIFS(ProposedLoans!$T$6:$T$21,ProposedLoans!$D$6:$D$21,$C$82,ProposedLoans!$Z$6:$Z$21,$C86,ProposedLoans!$M$6:$M$21,ProposedLoansWkst!I$2)</f>
        <v>0</v>
      </c>
      <c r="Q86" s="756">
        <f>SUMIFS(ProposedLoans!$T$6:$T$21,ProposedLoans!$D$6:$D$21,$C$82,ProposedLoans!$Z$6:$Z$21,"*Apr*",ProposedLoans!$M$6:$M$21,ProposedLoansWkst!Q$2)</f>
        <v>0</v>
      </c>
      <c r="R86" s="756">
        <f>SUMIFS(ProposedLoans!$T$6:$T$21,ProposedLoans!$D$6:$D$21,$C$82,ProposedLoans!$Z$6:$Z$21,"*Apr*",ProposedLoans!$M$6:$M$21,ProposedLoansWkst!R$2)</f>
        <v>0</v>
      </c>
      <c r="S86" s="756">
        <f>SUMIFS(ProposedLoans!$T$6:$T$21,ProposedLoans!$D$6:$D$21,$C$82,ProposedLoans!$Z$6:$Z$21,"*Apr*",ProposedLoans!$M$6:$M$21,ProposedLoansWkst!S$2)</f>
        <v>0</v>
      </c>
    </row>
    <row r="87" spans="2:19" x14ac:dyDescent="0.2">
      <c r="B87" s="757" t="s">
        <v>3</v>
      </c>
      <c r="C87" s="758" t="s">
        <v>3</v>
      </c>
      <c r="D87" s="759">
        <f>SUM(ProposedLoansWkst!$I87:$L87)</f>
        <v>0</v>
      </c>
      <c r="E87" s="760">
        <f>SUM(ProposedLoansWkst!$P87:$S87)</f>
        <v>0</v>
      </c>
      <c r="F87" s="760">
        <f>SUM(ProposedLoansWkst!$M87)</f>
        <v>0</v>
      </c>
      <c r="H87" s="757" t="s">
        <v>3</v>
      </c>
      <c r="I87" s="759">
        <f>SUMIFS(ProposedLoans!$S$6:$S$21,ProposedLoans!$D$6:$D$21,$C$82,ProposedLoans!$Z$6:$Z$21,$C87,ProposedLoans!$M$6:$M$21,ProposedLoansWkst!I$2)</f>
        <v>0</v>
      </c>
      <c r="J87" s="760">
        <f>SUMIFS(ProposedLoans!$S$6:$S$21,ProposedLoans!$D$6:$D$21,$C$82,ProposedLoans!$Z$6:$Z$21,"*May*",ProposedLoans!$M$6:$M$21,ProposedLoansWkst!J$2)</f>
        <v>0</v>
      </c>
      <c r="K87" s="760">
        <f>SUMIFS(ProposedLoans!$S$6:$S$21,ProposedLoans!$D$6:$D$21,$C$82,ProposedLoans!$Z$6:$Z$21,"*May*",ProposedLoans!$M$6:$M$21,ProposedLoansWkst!K$2)</f>
        <v>0</v>
      </c>
      <c r="L87" s="760">
        <f>SUMIFS(ProposedLoans!$S$6:$S$21,ProposedLoans!$D$6:$D$21,$C$82,ProposedLoans!$Z$6:$Z$21,"*May*",ProposedLoans!$M$6:$M$21,ProposedLoansWkst!L$2)</f>
        <v>0</v>
      </c>
      <c r="M87" s="760">
        <f>SUMIFS(ProposedLoans!$F$6:$F$21,ProposedLoans!$D$6:$D$21,$C$82,ProposedLoans!$G$6:$G$21,"*May*")</f>
        <v>0</v>
      </c>
      <c r="O87" s="757" t="s">
        <v>3</v>
      </c>
      <c r="P87" s="760">
        <f>SUMIFS(ProposedLoans!$T$6:$T$21,ProposedLoans!$D$6:$D$21,$C$82,ProposedLoans!$Z$6:$Z$21,$C87,ProposedLoans!$M$6:$M$21,ProposedLoansWkst!I$2)</f>
        <v>0</v>
      </c>
      <c r="Q87" s="760">
        <f>SUMIFS(ProposedLoans!$T$6:$T$21,ProposedLoans!$D$6:$D$21,$C$82,ProposedLoans!$Z$6:$Z$21,"*May*",ProposedLoans!$M$6:$M$21,ProposedLoansWkst!Q$2)</f>
        <v>0</v>
      </c>
      <c r="R87" s="760">
        <f>SUMIFS(ProposedLoans!$T$6:$T$21,ProposedLoans!$D$6:$D$21,$C$82,ProposedLoans!$Z$6:$Z$21,"*May*",ProposedLoans!$M$6:$M$21,ProposedLoansWkst!R$2)</f>
        <v>0</v>
      </c>
      <c r="S87" s="760">
        <f>SUMIFS(ProposedLoans!$T$6:$T$21,ProposedLoans!$D$6:$D$21,$C$82,ProposedLoans!$Z$6:$Z$21,"*May*",ProposedLoans!$M$6:$M$21,ProposedLoansWkst!S$2)</f>
        <v>0</v>
      </c>
    </row>
    <row r="88" spans="2:19" x14ac:dyDescent="0.2">
      <c r="B88" s="753" t="s">
        <v>186</v>
      </c>
      <c r="C88" s="761" t="s">
        <v>8</v>
      </c>
      <c r="D88" s="755">
        <f>SUM(ProposedLoansWkst!$I88:$L88)</f>
        <v>0</v>
      </c>
      <c r="E88" s="756">
        <f>SUM(ProposedLoansWkst!$P88:$S88)</f>
        <v>0</v>
      </c>
      <c r="F88" s="756">
        <f>SUM(ProposedLoansWkst!$M88)</f>
        <v>0</v>
      </c>
      <c r="H88" s="753" t="s">
        <v>8</v>
      </c>
      <c r="I88" s="755">
        <f>SUMIFS(ProposedLoans!$S$6:$S$21,ProposedLoans!$D$6:$D$21,$C$82,ProposedLoans!$Z$6:$Z$21,$C88,ProposedLoans!$M$6:$M$21,ProposedLoansWkst!I$2)</f>
        <v>0</v>
      </c>
      <c r="J88" s="756">
        <f>SUMIFS(ProposedLoans!$S$6:$S$21,ProposedLoans!$D$6:$D$21,$C$82,ProposedLoans!$Z$6:$Z$21,"*Jun*",ProposedLoans!$M$6:$M$21,ProposedLoansWkst!J$2)</f>
        <v>0</v>
      </c>
      <c r="K88" s="756">
        <f>SUMIFS(ProposedLoans!$S$6:$S$21,ProposedLoans!$D$6:$D$21,$C$82,ProposedLoans!$Z$6:$Z$21,"*Jun*",ProposedLoans!$M$6:$M$21,ProposedLoansWkst!K$2)</f>
        <v>0</v>
      </c>
      <c r="L88" s="756">
        <f>SUMIFS(ProposedLoans!$S$6:$S$21,ProposedLoans!$D$6:$D$21,$C$82,ProposedLoans!$Z$6:$Z$21,"*Jun*",ProposedLoans!$M$6:$M$21,ProposedLoansWkst!L$2)</f>
        <v>0</v>
      </c>
      <c r="M88" s="756">
        <f>SUMIFS(ProposedLoans!$F$6:$F$21,ProposedLoans!$D$6:$D$21,$C$82,ProposedLoans!$G$6:$G$21,"*Jun*")</f>
        <v>0</v>
      </c>
      <c r="O88" s="753" t="s">
        <v>8</v>
      </c>
      <c r="P88" s="756">
        <f>SUMIFS(ProposedLoans!$T$6:$T$21,ProposedLoans!$D$6:$D$21,$C$82,ProposedLoans!$Z$6:$Z$21,$C88,ProposedLoans!$M$6:$M$21,ProposedLoansWkst!I$2)</f>
        <v>0</v>
      </c>
      <c r="Q88" s="756">
        <f>SUMIFS(ProposedLoans!$T$6:$T$21,ProposedLoans!$D$6:$D$21,$C$82,ProposedLoans!$Z$6:$Z$21,"*Jun*",ProposedLoans!$M$6:$M$21,ProposedLoansWkst!Q$2)</f>
        <v>0</v>
      </c>
      <c r="R88" s="756">
        <f>SUMIFS(ProposedLoans!$T$6:$T$21,ProposedLoans!$D$6:$D$21,$C$82,ProposedLoans!$Z$6:$Z$21,"*Jun*",ProposedLoans!$M$6:$M$21,ProposedLoansWkst!R$2)</f>
        <v>0</v>
      </c>
      <c r="S88" s="756">
        <f>SUMIFS(ProposedLoans!$T$6:$T$21,ProposedLoans!$D$6:$D$21,$C$82,ProposedLoans!$Z$6:$Z$21,"*Jun*",ProposedLoans!$M$6:$M$21,ProposedLoansWkst!S$2)</f>
        <v>0</v>
      </c>
    </row>
    <row r="89" spans="2:19" x14ac:dyDescent="0.2">
      <c r="B89" s="757" t="s">
        <v>187</v>
      </c>
      <c r="C89" s="758" t="s">
        <v>9</v>
      </c>
      <c r="D89" s="759">
        <f>SUM(ProposedLoansWkst!$I89:$L89)</f>
        <v>0</v>
      </c>
      <c r="E89" s="760">
        <f>SUM(ProposedLoansWkst!$P89:$S89)</f>
        <v>0</v>
      </c>
      <c r="F89" s="760">
        <f>SUM(ProposedLoansWkst!$M89)</f>
        <v>0</v>
      </c>
      <c r="H89" s="757" t="s">
        <v>9</v>
      </c>
      <c r="I89" s="759">
        <f>SUMIFS(ProposedLoans!$S$6:$S$21,ProposedLoans!$D$6:$D$21,$C$82,ProposedLoans!$Z$6:$Z$21,$C89,ProposedLoans!$M$6:$M$21,ProposedLoansWkst!I$2)</f>
        <v>0</v>
      </c>
      <c r="J89" s="760">
        <f>SUMIFS(ProposedLoans!$S$6:$S$21,ProposedLoans!$D$6:$D$21,$C$82,ProposedLoans!$Z$6:$Z$21,"*Jul*",ProposedLoans!$M$6:$M$21,ProposedLoansWkst!J$2)</f>
        <v>0</v>
      </c>
      <c r="K89" s="760">
        <f>SUMIFS(ProposedLoans!$S$6:$S$21,ProposedLoans!$D$6:$D$21,$C$82,ProposedLoans!$Z$6:$Z$21,"*Jul*",ProposedLoans!$M$6:$M$21,ProposedLoansWkst!K$2)</f>
        <v>0</v>
      </c>
      <c r="L89" s="760">
        <f>SUMIFS(ProposedLoans!$S$6:$S$21,ProposedLoans!$D$6:$D$21,$C$82,ProposedLoans!$Z$6:$Z$21,"*Jul*",ProposedLoans!$M$6:$M$21,ProposedLoansWkst!L$2)</f>
        <v>0</v>
      </c>
      <c r="M89" s="760">
        <f>SUMIFS(ProposedLoans!$F$6:$F$21,ProposedLoans!$D$6:$D$21,$C$82,ProposedLoans!$G$6:$G$21,"*Jul*")</f>
        <v>0</v>
      </c>
      <c r="O89" s="757" t="s">
        <v>9</v>
      </c>
      <c r="P89" s="760">
        <f>SUMIFS(ProposedLoans!$T$6:$T$21,ProposedLoans!$D$6:$D$21,$C$82,ProposedLoans!$Z$6:$Z$21,$C89,ProposedLoans!$M$6:$M$21,ProposedLoansWkst!I$2)</f>
        <v>0</v>
      </c>
      <c r="Q89" s="760">
        <f>SUMIFS(ProposedLoans!$T$6:$T$21,ProposedLoans!$D$6:$D$21,$C$82,ProposedLoans!$Z$6:$Z$21,"*Jul*",ProposedLoans!$M$6:$M$21,ProposedLoansWkst!Q$2)</f>
        <v>0</v>
      </c>
      <c r="R89" s="760">
        <f>SUMIFS(ProposedLoans!$T$6:$T$21,ProposedLoans!$D$6:$D$21,$C$82,ProposedLoans!$Z$6:$Z$21,"*Jul*",ProposedLoans!$M$6:$M$21,ProposedLoansWkst!R$2)</f>
        <v>0</v>
      </c>
      <c r="S89" s="760">
        <f>SUMIFS(ProposedLoans!$T$6:$T$21,ProposedLoans!$D$6:$D$21,$C$82,ProposedLoans!$Z$6:$Z$21,"*Jul*",ProposedLoans!$M$6:$M$21,ProposedLoansWkst!S$2)</f>
        <v>0</v>
      </c>
    </row>
    <row r="90" spans="2:19" x14ac:dyDescent="0.2">
      <c r="B90" s="753" t="s">
        <v>188</v>
      </c>
      <c r="C90" s="761" t="s">
        <v>10</v>
      </c>
      <c r="D90" s="755">
        <f>SUM(ProposedLoansWkst!$I90:$L90)</f>
        <v>0</v>
      </c>
      <c r="E90" s="756">
        <f>SUM(ProposedLoansWkst!$P90:$S90)</f>
        <v>0</v>
      </c>
      <c r="F90" s="756">
        <f>SUM(ProposedLoansWkst!$M90)</f>
        <v>0</v>
      </c>
      <c r="H90" s="753" t="s">
        <v>10</v>
      </c>
      <c r="I90" s="755">
        <f>SUMIFS(ProposedLoans!$S$6:$S$21,ProposedLoans!$D$6:$D$21,$C$82,ProposedLoans!$Z$6:$Z$21,$C90,ProposedLoans!$M$6:$M$21,ProposedLoansWkst!I$2)</f>
        <v>0</v>
      </c>
      <c r="J90" s="756">
        <f>SUMIFS(ProposedLoans!$S$6:$S$21,ProposedLoans!$D$6:$D$21,$C$82,ProposedLoans!$Z$6:$Z$21,"*Aug*",ProposedLoans!$M$6:$M$21,ProposedLoansWkst!J$2)</f>
        <v>0</v>
      </c>
      <c r="K90" s="756">
        <f>SUMIFS(ProposedLoans!$S$6:$S$21,ProposedLoans!$D$6:$D$21,$C$82,ProposedLoans!$Z$6:$Z$21,"*Aug*",ProposedLoans!$M$6:$M$21,ProposedLoansWkst!K$2)</f>
        <v>0</v>
      </c>
      <c r="L90" s="756">
        <f>SUMIFS(ProposedLoans!$S$6:$S$21,ProposedLoans!$D$6:$D$21,$C$82,ProposedLoans!$Z$6:$Z$21,"*Aug*",ProposedLoans!$M$6:$M$21,ProposedLoansWkst!L$2)</f>
        <v>0</v>
      </c>
      <c r="M90" s="756">
        <f>SUMIFS(ProposedLoans!$F$6:$F$21,ProposedLoans!$D$6:$D$21,$C$82,ProposedLoans!$G$6:$G$21,"*Aug*")</f>
        <v>0</v>
      </c>
      <c r="O90" s="753" t="s">
        <v>10</v>
      </c>
      <c r="P90" s="756">
        <f>SUMIFS(ProposedLoans!$T$6:$T$21,ProposedLoans!$D$6:$D$21,$C$82,ProposedLoans!$Z$6:$Z$21,$C90,ProposedLoans!$M$6:$M$21,ProposedLoansWkst!I$2)</f>
        <v>0</v>
      </c>
      <c r="Q90" s="756">
        <f>SUMIFS(ProposedLoans!$T$6:$T$21,ProposedLoans!$D$6:$D$21,$C$82,ProposedLoans!$Z$6:$Z$21,"*Aug*",ProposedLoans!$M$6:$M$21,ProposedLoansWkst!Q$2)</f>
        <v>0</v>
      </c>
      <c r="R90" s="756">
        <f>SUMIFS(ProposedLoans!$T$6:$T$21,ProposedLoans!$D$6:$D$21,$C$82,ProposedLoans!$Z$6:$Z$21,"*Aug*",ProposedLoans!$M$6:$M$21,ProposedLoansWkst!R$2)</f>
        <v>0</v>
      </c>
      <c r="S90" s="756">
        <f>SUMIFS(ProposedLoans!$T$6:$T$21,ProposedLoans!$D$6:$D$21,$C$82,ProposedLoans!$Z$6:$Z$21,"*Aug*",ProposedLoans!$M$6:$M$21,ProposedLoansWkst!S$2)</f>
        <v>0</v>
      </c>
    </row>
    <row r="91" spans="2:19" x14ac:dyDescent="0.2">
      <c r="B91" s="757" t="s">
        <v>189</v>
      </c>
      <c r="C91" s="758" t="s">
        <v>11</v>
      </c>
      <c r="D91" s="759">
        <f>SUM(ProposedLoansWkst!$I91:$L91)</f>
        <v>0</v>
      </c>
      <c r="E91" s="760">
        <f>SUM(ProposedLoansWkst!$P91:$S91)</f>
        <v>0</v>
      </c>
      <c r="F91" s="760">
        <f>SUM(ProposedLoansWkst!$M91)</f>
        <v>0</v>
      </c>
      <c r="H91" s="757" t="s">
        <v>11</v>
      </c>
      <c r="I91" s="759">
        <f>SUMIFS(ProposedLoans!$S$6:$S$21,ProposedLoans!$D$6:$D$21,$C$82,ProposedLoans!$Z$6:$Z$21,$C91,ProposedLoans!$M$6:$M$21,ProposedLoansWkst!I$2)</f>
        <v>0</v>
      </c>
      <c r="J91" s="760">
        <f>SUMIFS(ProposedLoans!$S$6:$S$21,ProposedLoans!$D$6:$D$21,$C$82,ProposedLoans!$Z$6:$Z$21,"*Sep*",ProposedLoans!$M$6:$M$21,ProposedLoansWkst!J$2)</f>
        <v>0</v>
      </c>
      <c r="K91" s="760">
        <f>SUMIFS(ProposedLoans!$S$6:$S$21,ProposedLoans!$D$6:$D$21,$C$82,ProposedLoans!$Z$6:$Z$21,"*Sep*",ProposedLoans!$M$6:$M$21,ProposedLoansWkst!K$2)</f>
        <v>0</v>
      </c>
      <c r="L91" s="760">
        <f>SUMIFS(ProposedLoans!$S$6:$S$21,ProposedLoans!$D$6:$D$21,$C$82,ProposedLoans!$Z$6:$Z$21,"*Sep*",ProposedLoans!$M$6:$M$21,ProposedLoansWkst!L$2)</f>
        <v>0</v>
      </c>
      <c r="M91" s="760">
        <f>SUMIFS(ProposedLoans!$F$6:$F$21,ProposedLoans!$D$6:$D$21,$C$82,ProposedLoans!$G$6:$G$21,"*Sep*")</f>
        <v>0</v>
      </c>
      <c r="O91" s="757" t="s">
        <v>11</v>
      </c>
      <c r="P91" s="760">
        <f>SUMIFS(ProposedLoans!$T$6:$T$21,ProposedLoans!$D$6:$D$21,$C$82,ProposedLoans!$Z$6:$Z$21,$C91,ProposedLoans!$M$6:$M$21,ProposedLoansWkst!I$2)</f>
        <v>0</v>
      </c>
      <c r="Q91" s="760">
        <f>SUMIFS(ProposedLoans!$T$6:$T$21,ProposedLoans!$D$6:$D$21,$C$82,ProposedLoans!$Z$6:$Z$21,"*Sep*",ProposedLoans!$M$6:$M$21,ProposedLoansWkst!Q$2)</f>
        <v>0</v>
      </c>
      <c r="R91" s="760">
        <f>SUMIFS(ProposedLoans!$T$6:$T$21,ProposedLoans!$D$6:$D$21,$C$82,ProposedLoans!$Z$6:$Z$21,"*Sep*",ProposedLoans!$M$6:$M$21,ProposedLoansWkst!R$2)</f>
        <v>0</v>
      </c>
      <c r="S91" s="760">
        <f>SUMIFS(ProposedLoans!$T$6:$T$21,ProposedLoans!$D$6:$D$21,$C$82,ProposedLoans!$Z$6:$Z$21,"*Sep*",ProposedLoans!$M$6:$M$21,ProposedLoansWkst!S$2)</f>
        <v>0</v>
      </c>
    </row>
    <row r="92" spans="2:19" x14ac:dyDescent="0.2">
      <c r="B92" s="753" t="s">
        <v>190</v>
      </c>
      <c r="C92" s="761" t="s">
        <v>12</v>
      </c>
      <c r="D92" s="755">
        <f>SUM(ProposedLoansWkst!$I92:$L92)</f>
        <v>0</v>
      </c>
      <c r="E92" s="756">
        <f>SUM(ProposedLoansWkst!$P92:$S92)</f>
        <v>0</v>
      </c>
      <c r="F92" s="756">
        <f>SUM(ProposedLoansWkst!$M92)</f>
        <v>0</v>
      </c>
      <c r="H92" s="753" t="s">
        <v>12</v>
      </c>
      <c r="I92" s="755">
        <f>SUMIFS(ProposedLoans!$S$6:$S$21,ProposedLoans!$D$6:$D$21,$C$82,ProposedLoans!$Z$6:$Z$21,$C92,ProposedLoans!$M$6:$M$21,ProposedLoansWkst!I$2)</f>
        <v>0</v>
      </c>
      <c r="J92" s="756">
        <f>SUMIFS(ProposedLoans!$S$6:$S$21,ProposedLoans!$D$6:$D$21,$C$82,ProposedLoans!$Z$6:$Z$21,"*Oct*",ProposedLoans!$M$6:$M$21,ProposedLoansWkst!J$2)</f>
        <v>0</v>
      </c>
      <c r="K92" s="756">
        <f>SUMIFS(ProposedLoans!$S$6:$S$21,ProposedLoans!$D$6:$D$21,$C$82,ProposedLoans!$Z$6:$Z$21,"*Oct*",ProposedLoans!$M$6:$M$21,ProposedLoansWkst!K$2)</f>
        <v>0</v>
      </c>
      <c r="L92" s="756">
        <f>SUMIFS(ProposedLoans!$S$6:$S$21,ProposedLoans!$D$6:$D$21,$C$82,ProposedLoans!$Z$6:$Z$21,"*Oct*",ProposedLoans!$M$6:$M$21,ProposedLoansWkst!L$2)</f>
        <v>0</v>
      </c>
      <c r="M92" s="756">
        <f>SUMIFS(ProposedLoans!$F$6:$F$21,ProposedLoans!$D$6:$D$21,$C$82,ProposedLoans!$G$6:$G$21,"*Oct*")</f>
        <v>0</v>
      </c>
      <c r="O92" s="753" t="s">
        <v>12</v>
      </c>
      <c r="P92" s="756">
        <f>SUMIFS(ProposedLoans!$T$6:$T$21,ProposedLoans!$D$6:$D$21,$C$82,ProposedLoans!$Z$6:$Z$21,$C92,ProposedLoans!$M$6:$M$21,ProposedLoansWkst!I$2)</f>
        <v>0</v>
      </c>
      <c r="Q92" s="756">
        <f>SUMIFS(ProposedLoans!$T$6:$T$21,ProposedLoans!$D$6:$D$21,$C$82,ProposedLoans!$Z$6:$Z$21,"*Oct*",ProposedLoans!$M$6:$M$21,ProposedLoansWkst!Q$2)</f>
        <v>0</v>
      </c>
      <c r="R92" s="756">
        <f>SUMIFS(ProposedLoans!$T$6:$T$21,ProposedLoans!$D$6:$D$21,$C$82,ProposedLoans!$Z$6:$Z$21,"*Oct*",ProposedLoans!$M$6:$M$21,ProposedLoansWkst!R$2)</f>
        <v>0</v>
      </c>
      <c r="S92" s="756">
        <f>SUMIFS(ProposedLoans!$T$6:$T$21,ProposedLoans!$D$6:$D$21,$C$82,ProposedLoans!$Z$6:$Z$21,"*Oct*",ProposedLoans!$M$6:$M$21,ProposedLoansWkst!S$2)</f>
        <v>0</v>
      </c>
    </row>
    <row r="93" spans="2:19" x14ac:dyDescent="0.2">
      <c r="B93" s="757" t="s">
        <v>191</v>
      </c>
      <c r="C93" s="758" t="s">
        <v>13</v>
      </c>
      <c r="D93" s="759">
        <f>SUM(ProposedLoansWkst!$I93:$L93)</f>
        <v>0</v>
      </c>
      <c r="E93" s="760">
        <f>SUM(ProposedLoansWkst!$P93:$S93)</f>
        <v>0</v>
      </c>
      <c r="F93" s="760">
        <f>SUM(ProposedLoansWkst!$M93)</f>
        <v>0</v>
      </c>
      <c r="H93" s="757" t="s">
        <v>13</v>
      </c>
      <c r="I93" s="759">
        <f>SUMIFS(ProposedLoans!$S$6:$S$21,ProposedLoans!$D$6:$D$21,$C$82,ProposedLoans!$Z$6:$Z$21,$C93,ProposedLoans!$M$6:$M$21,ProposedLoansWkst!I$2)</f>
        <v>0</v>
      </c>
      <c r="J93" s="760">
        <f>SUMIFS(ProposedLoans!$S$6:$S$21,ProposedLoans!$D$6:$D$21,$C$82,ProposedLoans!$Z$6:$Z$21,"*Nov*",ProposedLoans!$M$6:$M$21,ProposedLoansWkst!J$2)</f>
        <v>0</v>
      </c>
      <c r="K93" s="760">
        <f>SUMIFS(ProposedLoans!$S$6:$S$21,ProposedLoans!$D$6:$D$21,$C$82,ProposedLoans!$Z$6:$Z$21,"*Nov*",ProposedLoans!$M$6:$M$21,ProposedLoansWkst!K$2)</f>
        <v>0</v>
      </c>
      <c r="L93" s="760">
        <f>SUMIFS(ProposedLoans!$S$6:$S$21,ProposedLoans!$D$6:$D$21,$C$82,ProposedLoans!$Z$6:$Z$21,"*Nov*",ProposedLoans!$M$6:$M$21,ProposedLoansWkst!L$2)</f>
        <v>0</v>
      </c>
      <c r="M93" s="760">
        <f>SUMIFS(ProposedLoans!$F$6:$F$21,ProposedLoans!$D$6:$D$21,$C$82,ProposedLoans!$G$6:$G$21,"*Nov*")</f>
        <v>0</v>
      </c>
      <c r="O93" s="757" t="s">
        <v>13</v>
      </c>
      <c r="P93" s="760">
        <f>SUMIFS(ProposedLoans!$T$6:$T$21,ProposedLoans!$D$6:$D$21,$C$82,ProposedLoans!$Z$6:$Z$21,$C93,ProposedLoans!$M$6:$M$21,ProposedLoansWkst!I$2)</f>
        <v>0</v>
      </c>
      <c r="Q93" s="760">
        <f>SUMIFS(ProposedLoans!$T$6:$T$21,ProposedLoans!$D$6:$D$21,$C$82,ProposedLoans!$Z$6:$Z$21,"*Nov*",ProposedLoans!$M$6:$M$21,ProposedLoansWkst!Q$2)</f>
        <v>0</v>
      </c>
      <c r="R93" s="760">
        <f>SUMIFS(ProposedLoans!$T$6:$T$21,ProposedLoans!$D$6:$D$21,$C$82,ProposedLoans!$Z$6:$Z$21,"*Nov*",ProposedLoans!$M$6:$M$21,ProposedLoansWkst!R$2)</f>
        <v>0</v>
      </c>
      <c r="S93" s="760">
        <f>SUMIFS(ProposedLoans!$T$6:$T$21,ProposedLoans!$D$6:$D$21,$C$82,ProposedLoans!$Z$6:$Z$21,"*Nov*",ProposedLoans!$M$6:$M$21,ProposedLoansWkst!S$2)</f>
        <v>0</v>
      </c>
    </row>
    <row r="94" spans="2:19" ht="13.5" thickBot="1" x14ac:dyDescent="0.25">
      <c r="B94" s="753" t="s">
        <v>192</v>
      </c>
      <c r="C94" s="761" t="s">
        <v>14</v>
      </c>
      <c r="D94" s="755">
        <f>SUM(ProposedLoansWkst!$I94:$L94)</f>
        <v>0</v>
      </c>
      <c r="E94" s="756">
        <f>SUM(ProposedLoansWkst!$P94:$S94)</f>
        <v>0</v>
      </c>
      <c r="F94" s="756">
        <f>SUM(ProposedLoansWkst!$M94)</f>
        <v>0</v>
      </c>
      <c r="H94" s="753" t="s">
        <v>14</v>
      </c>
      <c r="I94" s="755">
        <f>SUMIFS(ProposedLoans!$S$6:$S$21,ProposedLoans!$D$6:$D$21,$C$82,ProposedLoans!$Z$6:$Z$21,$C94,ProposedLoans!$M$6:$M$21,ProposedLoansWkst!I$2)</f>
        <v>0</v>
      </c>
      <c r="J94" s="756">
        <f>SUMIFS(ProposedLoans!$S$6:$S$21,ProposedLoans!$D$6:$D$21,$C$82,ProposedLoans!$Z$6:$Z$21,"*Dec*",ProposedLoans!$M$6:$M$21,ProposedLoansWkst!J$2)</f>
        <v>0</v>
      </c>
      <c r="K94" s="756">
        <f>SUMIFS(ProposedLoans!$S$6:$S$21,ProposedLoans!$D$6:$D$21,$C$82,ProposedLoans!$Z$6:$Z$21,"*Dec*",ProposedLoans!$M$6:$M$21,ProposedLoansWkst!K$2)</f>
        <v>0</v>
      </c>
      <c r="L94" s="756">
        <f>SUMIFS(ProposedLoans!$S$6:$S$21,ProposedLoans!$D$6:$D$21,$C$82,ProposedLoans!$Z$6:$Z$21,"*Dec*",ProposedLoans!$M$6:$M$21,ProposedLoansWkst!L$2)</f>
        <v>0</v>
      </c>
      <c r="M94" s="756">
        <f>SUMIFS(ProposedLoans!$F$6:$F$21,ProposedLoans!$D$6:$D$21,$C$82,ProposedLoans!$G$6:$G$21,"*Dec*")</f>
        <v>0</v>
      </c>
      <c r="O94" s="753" t="s">
        <v>14</v>
      </c>
      <c r="P94" s="756">
        <f>SUMIFS(ProposedLoans!$T$6:$T$21,ProposedLoans!$D$6:$D$21,$C$82,ProposedLoans!$Z$6:$Z$21,$C94,ProposedLoans!$M$6:$M$21,ProposedLoansWkst!I$2)</f>
        <v>0</v>
      </c>
      <c r="Q94" s="756">
        <f>SUMIFS(ProposedLoans!$T$6:$T$21,ProposedLoans!$D$6:$D$21,$C$82,ProposedLoans!$Z$6:$Z$21,"*Dec*",ProposedLoans!$M$6:$M$21,ProposedLoansWkst!Q$2)</f>
        <v>0</v>
      </c>
      <c r="R94" s="756">
        <f>SUMIFS(ProposedLoans!$T$6:$T$21,ProposedLoans!$D$6:$D$21,$C$82,ProposedLoans!$Z$6:$Z$21,"*Dec*",ProposedLoans!$M$6:$M$21,ProposedLoansWkst!R$2)</f>
        <v>0</v>
      </c>
      <c r="S94" s="756">
        <f>SUMIFS(ProposedLoans!$T$6:$T$21,ProposedLoans!$D$6:$D$21,$C$82,ProposedLoans!$Z$6:$Z$21,"*Dec*",ProposedLoans!$M$6:$M$21,ProposedLoansWkst!S$2)</f>
        <v>0</v>
      </c>
    </row>
    <row r="95" spans="2:19" ht="13.5" thickTop="1" x14ac:dyDescent="0.2">
      <c r="B95" s="762"/>
      <c r="C95" s="763"/>
      <c r="D95" s="764">
        <f>SUM(ProposedLoansWkst!$D$83:$D$94)</f>
        <v>0</v>
      </c>
      <c r="E95" s="746">
        <f>SUM(ProposedLoansWkst!$E$83:$E$94)</f>
        <v>0</v>
      </c>
      <c r="F95" s="745">
        <f>SUM(ProposedLoansWkst!$F$83:$F$94)</f>
        <v>0</v>
      </c>
      <c r="H95" s="767"/>
      <c r="I95" s="745">
        <f>SUM(ProposedLoansWkst!$I$83:$I$94)</f>
        <v>0</v>
      </c>
      <c r="J95" s="745">
        <f>SUM(ProposedLoansWkst!$J$83:$J$94)</f>
        <v>0</v>
      </c>
      <c r="K95" s="745">
        <f>SUM(ProposedLoansWkst!$K$83:$K$94)</f>
        <v>0</v>
      </c>
      <c r="L95" s="745">
        <f>SUM(ProposedLoansWkst!$L$83:$L$94)</f>
        <v>0</v>
      </c>
      <c r="M95" s="745">
        <f>SUM(ProposedLoansWkst!$M$83:$M$94)</f>
        <v>0</v>
      </c>
      <c r="O95" s="767"/>
      <c r="P95" s="745">
        <f>SUM(ProposedLoansWkst!$P$83:$P$94)</f>
        <v>0</v>
      </c>
      <c r="Q95" s="745">
        <f>SUM(ProposedLoansWkst!$Q$83:$Q$94)</f>
        <v>0</v>
      </c>
      <c r="R95" s="745">
        <f>SUM(ProposedLoansWkst!$R$83:$R$94)</f>
        <v>0</v>
      </c>
      <c r="S95" s="745">
        <f>SUM(ProposedLoansWkst!$S$83:$S$94)</f>
        <v>0</v>
      </c>
    </row>
  </sheetData>
  <sheetProtection algorithmName="SHA-512" hashValue="K2AbM6i47FXuVt3levyOs8PjmmjVYkeeX544SOKALzQrUj7jNMVLx6psMTwhaYWGvl8FCHiwWlJU8CYD8Ch/eQ==" saltValue="q6cykoWaB9AR8/Ixfkrr8A==" spinCount="10000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434953"/>
  </sheetPr>
  <dimension ref="A1:H35"/>
  <sheetViews>
    <sheetView showGridLines="0" workbookViewId="0"/>
  </sheetViews>
  <sheetFormatPr defaultColWidth="10" defaultRowHeight="12.75" x14ac:dyDescent="0.2"/>
  <cols>
    <col min="1" max="1" width="49.7109375" customWidth="1"/>
    <col min="2" max="2" width="8.140625" customWidth="1"/>
    <col min="3" max="3" width="8.7109375" customWidth="1"/>
    <col min="4" max="4" width="16.7109375" bestFit="1" customWidth="1"/>
    <col min="5" max="5" width="11.85546875" bestFit="1" customWidth="1"/>
    <col min="6" max="6" width="49.7109375" customWidth="1"/>
    <col min="7" max="7" width="16.7109375" customWidth="1"/>
    <col min="8" max="8" width="3.7109375" customWidth="1"/>
    <col min="9" max="9" width="49.7109375" customWidth="1"/>
    <col min="10" max="10" width="16.7109375" customWidth="1"/>
    <col min="11" max="11" width="12" customWidth="1"/>
  </cols>
  <sheetData>
    <row r="1" spans="1:8" s="14" customFormat="1" ht="20.25" customHeight="1" x14ac:dyDescent="0.3">
      <c r="A1" s="4" t="s">
        <v>393</v>
      </c>
      <c r="B1" s="4"/>
      <c r="C1" s="4"/>
      <c r="D1" s="22"/>
      <c r="E1" s="15"/>
      <c r="F1" s="15"/>
      <c r="G1" s="15"/>
      <c r="H1" s="15"/>
    </row>
    <row r="2" spans="1:8" s="14" customFormat="1" ht="15" customHeight="1" x14ac:dyDescent="0.2">
      <c r="A2" s="1263" t="str">
        <f>IF(Name&gt;"",Name,IF(BusName&gt;"",BusName,""))</f>
        <v/>
      </c>
      <c r="B2" s="1263"/>
      <c r="C2" s="1263"/>
      <c r="D2" s="1263"/>
      <c r="E2" s="15"/>
      <c r="F2" s="15"/>
      <c r="G2" s="15"/>
      <c r="H2" s="15"/>
    </row>
    <row r="3" spans="1:8" s="14" customFormat="1" ht="15" customHeight="1" x14ac:dyDescent="0.2">
      <c r="A3" s="623" t="s">
        <v>86</v>
      </c>
      <c r="B3" s="623"/>
      <c r="C3" s="623"/>
      <c r="D3" s="624" t="str">
        <f>CONCATENATE("Year Ending ",Year2)</f>
        <v>Year Ending 1 Projected</v>
      </c>
      <c r="E3" s="19"/>
      <c r="F3" s="19"/>
      <c r="G3" s="19"/>
      <c r="H3" s="19"/>
    </row>
    <row r="4" spans="1:8" s="14" customFormat="1" ht="19.5" customHeight="1" x14ac:dyDescent="0.2">
      <c r="A4" s="625"/>
      <c r="B4" s="625"/>
      <c r="C4" s="625"/>
      <c r="D4" s="626"/>
      <c r="E4" s="38"/>
    </row>
    <row r="5" spans="1:8" s="14" customFormat="1" ht="15" customHeight="1" x14ac:dyDescent="0.2">
      <c r="A5" s="574" t="s">
        <v>256</v>
      </c>
      <c r="B5" s="575" t="s">
        <v>257</v>
      </c>
      <c r="C5" s="575" t="s">
        <v>510</v>
      </c>
      <c r="D5" s="575" t="s">
        <v>449</v>
      </c>
      <c r="E5" s="38"/>
      <c r="F5" s="39"/>
    </row>
    <row r="6" spans="1:8" s="17" customFormat="1" ht="15" customHeight="1" x14ac:dyDescent="0.2">
      <c r="A6" s="667"/>
      <c r="B6" s="669"/>
      <c r="C6" s="282"/>
      <c r="D6" s="548">
        <f t="shared" ref="D6:D12" si="0">B6*C6</f>
        <v>0</v>
      </c>
      <c r="E6" s="16"/>
      <c r="F6" s="20"/>
    </row>
    <row r="7" spans="1:8" s="17" customFormat="1" ht="15" customHeight="1" x14ac:dyDescent="0.2">
      <c r="A7" s="667"/>
      <c r="B7" s="669"/>
      <c r="C7" s="282"/>
      <c r="D7" s="548">
        <f t="shared" si="0"/>
        <v>0</v>
      </c>
      <c r="E7" s="16"/>
      <c r="F7" s="20"/>
    </row>
    <row r="8" spans="1:8" s="17" customFormat="1" ht="15" customHeight="1" x14ac:dyDescent="0.2">
      <c r="A8" s="667"/>
      <c r="B8" s="669"/>
      <c r="C8" s="282"/>
      <c r="D8" s="548">
        <f t="shared" si="0"/>
        <v>0</v>
      </c>
      <c r="E8" s="16"/>
      <c r="F8" s="20"/>
    </row>
    <row r="9" spans="1:8" s="17" customFormat="1" ht="15" customHeight="1" x14ac:dyDescent="0.2">
      <c r="A9" s="667"/>
      <c r="B9" s="669"/>
      <c r="C9" s="282"/>
      <c r="D9" s="548">
        <f t="shared" si="0"/>
        <v>0</v>
      </c>
      <c r="E9" s="16"/>
      <c r="F9" s="20"/>
    </row>
    <row r="10" spans="1:8" s="17" customFormat="1" ht="15" customHeight="1" x14ac:dyDescent="0.2">
      <c r="A10" s="667"/>
      <c r="B10" s="669"/>
      <c r="C10" s="282"/>
      <c r="D10" s="548">
        <f t="shared" si="0"/>
        <v>0</v>
      </c>
      <c r="E10" s="16"/>
      <c r="F10" s="20"/>
    </row>
    <row r="11" spans="1:8" s="17" customFormat="1" ht="15" customHeight="1" x14ac:dyDescent="0.2">
      <c r="A11" s="668"/>
      <c r="B11" s="670"/>
      <c r="C11" s="284"/>
      <c r="D11" s="549">
        <f t="shared" si="0"/>
        <v>0</v>
      </c>
      <c r="E11" s="16"/>
      <c r="F11" s="20"/>
    </row>
    <row r="12" spans="1:8" s="17" customFormat="1" ht="15" customHeight="1" x14ac:dyDescent="0.2">
      <c r="A12" s="667"/>
      <c r="B12" s="669"/>
      <c r="C12" s="282"/>
      <c r="D12" s="548">
        <f t="shared" si="0"/>
        <v>0</v>
      </c>
      <c r="E12" s="16"/>
      <c r="F12" s="20"/>
    </row>
    <row r="13" spans="1:8" s="17" customFormat="1" ht="15" customHeight="1" x14ac:dyDescent="0.2">
      <c r="A13" s="212" t="str">
        <f>CONCATENATE("Sub-Total ",A5)</f>
        <v>Sub-Total Crop Inventory</v>
      </c>
      <c r="B13" s="212"/>
      <c r="C13" s="212"/>
      <c r="D13" s="217">
        <f>SUM(D6:D12)</f>
        <v>0</v>
      </c>
      <c r="E13" s="16"/>
      <c r="F13" s="20"/>
    </row>
    <row r="16" spans="1:8" ht="15" customHeight="1" x14ac:dyDescent="0.2">
      <c r="A16" s="574" t="s">
        <v>258</v>
      </c>
      <c r="B16" s="575" t="s">
        <v>257</v>
      </c>
      <c r="C16" s="575" t="s">
        <v>259</v>
      </c>
      <c r="D16" s="575" t="s">
        <v>260</v>
      </c>
      <c r="E16" s="575" t="s">
        <v>449</v>
      </c>
    </row>
    <row r="17" spans="1:5" x14ac:dyDescent="0.2">
      <c r="A17" s="667"/>
      <c r="B17" s="669"/>
      <c r="C17" s="669"/>
      <c r="D17" s="836"/>
      <c r="E17" s="548">
        <f>(B17*C17)*(D17/100)</f>
        <v>0</v>
      </c>
    </row>
    <row r="18" spans="1:5" x14ac:dyDescent="0.2">
      <c r="A18" s="667"/>
      <c r="B18" s="669"/>
      <c r="C18" s="669"/>
      <c r="D18" s="836"/>
      <c r="E18" s="548">
        <f t="shared" ref="E18:E23" si="1">(B18*C18)*(D18/100)</f>
        <v>0</v>
      </c>
    </row>
    <row r="19" spans="1:5" x14ac:dyDescent="0.2">
      <c r="A19" s="667"/>
      <c r="B19" s="669"/>
      <c r="C19" s="669"/>
      <c r="D19" s="836"/>
      <c r="E19" s="548">
        <f t="shared" si="1"/>
        <v>0</v>
      </c>
    </row>
    <row r="20" spans="1:5" x14ac:dyDescent="0.2">
      <c r="A20" s="667"/>
      <c r="B20" s="669"/>
      <c r="C20" s="669"/>
      <c r="D20" s="836"/>
      <c r="E20" s="548">
        <f t="shared" si="1"/>
        <v>0</v>
      </c>
    </row>
    <row r="21" spans="1:5" x14ac:dyDescent="0.2">
      <c r="A21" s="667"/>
      <c r="B21" s="669"/>
      <c r="C21" s="669"/>
      <c r="D21" s="282"/>
      <c r="E21" s="548">
        <f t="shared" si="1"/>
        <v>0</v>
      </c>
    </row>
    <row r="22" spans="1:5" x14ac:dyDescent="0.2">
      <c r="A22" s="668"/>
      <c r="B22" s="670"/>
      <c r="C22" s="670"/>
      <c r="D22" s="284"/>
      <c r="E22" s="549">
        <f t="shared" si="1"/>
        <v>0</v>
      </c>
    </row>
    <row r="23" spans="1:5" x14ac:dyDescent="0.2">
      <c r="A23" s="667"/>
      <c r="B23" s="669"/>
      <c r="C23" s="669"/>
      <c r="D23" s="282"/>
      <c r="E23" s="548">
        <f t="shared" si="1"/>
        <v>0</v>
      </c>
    </row>
    <row r="24" spans="1:5" x14ac:dyDescent="0.2">
      <c r="A24" s="212" t="str">
        <f>CONCATENATE("Sub-Total ",A16)</f>
        <v>Sub-Total Livestock Held for Sale</v>
      </c>
      <c r="B24" s="212"/>
      <c r="C24" s="212"/>
      <c r="D24" s="212"/>
      <c r="E24" s="217">
        <f>SUM(E17:E23)</f>
        <v>0</v>
      </c>
    </row>
    <row r="27" spans="1:5" ht="15" customHeight="1" x14ac:dyDescent="0.2">
      <c r="A27" s="574" t="s">
        <v>489</v>
      </c>
      <c r="B27" s="575" t="s">
        <v>257</v>
      </c>
      <c r="C27" s="575" t="s">
        <v>509</v>
      </c>
      <c r="D27" s="575" t="s">
        <v>449</v>
      </c>
    </row>
    <row r="28" spans="1:5" x14ac:dyDescent="0.2">
      <c r="A28" s="667"/>
      <c r="B28" s="669"/>
      <c r="C28" s="282"/>
      <c r="D28" s="548">
        <f>B28*C28</f>
        <v>0</v>
      </c>
    </row>
    <row r="29" spans="1:5" x14ac:dyDescent="0.2">
      <c r="A29" s="667"/>
      <c r="B29" s="669"/>
      <c r="C29" s="282"/>
      <c r="D29" s="548">
        <f t="shared" ref="D29:D34" si="2">B29*C29</f>
        <v>0</v>
      </c>
    </row>
    <row r="30" spans="1:5" x14ac:dyDescent="0.2">
      <c r="A30" s="667"/>
      <c r="B30" s="669"/>
      <c r="C30" s="282"/>
      <c r="D30" s="548">
        <f t="shared" si="2"/>
        <v>0</v>
      </c>
    </row>
    <row r="31" spans="1:5" x14ac:dyDescent="0.2">
      <c r="A31" s="667"/>
      <c r="B31" s="669"/>
      <c r="C31" s="282"/>
      <c r="D31" s="548">
        <f t="shared" si="2"/>
        <v>0</v>
      </c>
    </row>
    <row r="32" spans="1:5" x14ac:dyDescent="0.2">
      <c r="A32" s="667"/>
      <c r="B32" s="669"/>
      <c r="C32" s="282"/>
      <c r="D32" s="548">
        <f t="shared" si="2"/>
        <v>0</v>
      </c>
    </row>
    <row r="33" spans="1:4" x14ac:dyDescent="0.2">
      <c r="A33" s="668"/>
      <c r="B33" s="670"/>
      <c r="C33" s="284"/>
      <c r="D33" s="549">
        <f t="shared" si="2"/>
        <v>0</v>
      </c>
    </row>
    <row r="34" spans="1:4" x14ac:dyDescent="0.2">
      <c r="A34" s="667"/>
      <c r="B34" s="669"/>
      <c r="C34" s="282"/>
      <c r="D34" s="548">
        <f t="shared" si="2"/>
        <v>0</v>
      </c>
    </row>
    <row r="35" spans="1:4" x14ac:dyDescent="0.2">
      <c r="A35" s="212" t="str">
        <f>CONCATENATE("Sub-Total ",LEFT(A27,15))</f>
        <v>Sub-Total Other Inventory</v>
      </c>
      <c r="B35" s="212"/>
      <c r="C35" s="212"/>
      <c r="D35" s="217">
        <f>SUM(D28:D34)</f>
        <v>0</v>
      </c>
    </row>
  </sheetData>
  <sheetProtection algorithmName="SHA-512" hashValue="QWb4ufQIF6jd2q/knqqKMjfLZ1a9oHYdhpgEhS5zZjGavI3T6e3dolRkPK33x5rZzFrPzBPvi+FNFenHhu1zSg==" saltValue="8tmqYAAvB0vJreJ7bZ8+6Q==" spinCount="100000" sheet="1" objects="1" scenarios="1"/>
  <mergeCells count="1">
    <mergeCell ref="A2:D2"/>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4">
    <tabColor rgb="FF4A89DC"/>
  </sheetPr>
  <dimension ref="A1:T233"/>
  <sheetViews>
    <sheetView showGridLines="0" topLeftCell="B1" zoomScaleNormal="100" workbookViewId="0">
      <selection activeCell="B1" sqref="B1:B6"/>
    </sheetView>
  </sheetViews>
  <sheetFormatPr defaultColWidth="10" defaultRowHeight="12.75" x14ac:dyDescent="0.2"/>
  <cols>
    <col min="1" max="1" width="36" style="3" hidden="1" customWidth="1"/>
    <col min="2" max="2" width="57.7109375" style="3" customWidth="1"/>
    <col min="3" max="4" width="15.7109375" style="2" customWidth="1"/>
    <col min="5" max="5" width="10.85546875" style="3" customWidth="1"/>
    <col min="6" max="6" width="12" style="3" customWidth="1"/>
    <col min="7" max="18" width="10" style="3"/>
    <col min="19" max="19" width="57.7109375" style="3" customWidth="1"/>
    <col min="20" max="21" width="15.7109375" style="3" customWidth="1"/>
    <col min="22" max="23" width="10" style="3"/>
    <col min="24" max="24" width="57.7109375" style="3" customWidth="1"/>
    <col min="25" max="26" width="15.7109375" style="3" customWidth="1"/>
    <col min="27" max="16384" width="10" style="3"/>
  </cols>
  <sheetData>
    <row r="1" spans="2:20" ht="3" customHeight="1" x14ac:dyDescent="0.2">
      <c r="B1" s="1436" t="str">
        <f>B229</f>
        <v>NET CASH FLOWS (all sources)</v>
      </c>
      <c r="C1" s="1434">
        <f>C229</f>
        <v>0</v>
      </c>
      <c r="D1" s="1434">
        <f>D229</f>
        <v>0</v>
      </c>
      <c r="Q1" s="171">
        <f>Year1</f>
        <v>0</v>
      </c>
      <c r="R1" s="171" t="str">
        <f>CONCATENATE(Year+1," Proj.")</f>
        <v>1 Proj.</v>
      </c>
      <c r="S1" s="171"/>
      <c r="T1" s="171"/>
    </row>
    <row r="2" spans="2:20" ht="3" customHeight="1" x14ac:dyDescent="0.2">
      <c r="B2" s="1437"/>
      <c r="C2" s="1434"/>
      <c r="D2" s="1434"/>
      <c r="P2" s="3" t="str">
        <f ca="1">OFFSET(Q2,0,0,1,1)</f>
        <v>Ag Net Income</v>
      </c>
      <c r="Q2" s="171" t="s">
        <v>320</v>
      </c>
      <c r="R2" s="171" t="s">
        <v>168</v>
      </c>
      <c r="S2" s="171" t="str">
        <f ca="1">IF(HowSell="Direct to Processor","",OFFSET(R2,0,0,1,1))</f>
        <v/>
      </c>
      <c r="T2" s="171"/>
    </row>
    <row r="3" spans="2:20" ht="3" customHeight="1" x14ac:dyDescent="0.2">
      <c r="B3" s="1437"/>
      <c r="C3" s="1434"/>
      <c r="D3" s="1434"/>
      <c r="Q3" s="171" t="s">
        <v>318</v>
      </c>
      <c r="R3" s="171" t="s">
        <v>432</v>
      </c>
      <c r="S3" s="171" t="s">
        <v>433</v>
      </c>
      <c r="T3" s="171"/>
    </row>
    <row r="4" spans="2:20" ht="3" customHeight="1" x14ac:dyDescent="0.2">
      <c r="B4" s="1437"/>
      <c r="C4" s="1434"/>
      <c r="D4" s="1434"/>
      <c r="Q4" s="171" t="s">
        <v>169</v>
      </c>
      <c r="R4" s="171" t="s">
        <v>434</v>
      </c>
      <c r="S4" s="171" t="s">
        <v>435</v>
      </c>
      <c r="T4" s="171"/>
    </row>
    <row r="5" spans="2:20" ht="3" customHeight="1" x14ac:dyDescent="0.2">
      <c r="B5" s="1437"/>
      <c r="C5" s="1434"/>
      <c r="D5" s="1434"/>
      <c r="Q5" s="171" t="str">
        <f ca="1">IF(HowSell="Direct to Processor","",OFFSET(Q4,0,0,1,1))</f>
        <v/>
      </c>
      <c r="R5" s="171" t="str">
        <f ca="1">IF(HowSell="Direct to Processor","",OFFSET(R4,0,0,1,1))</f>
        <v/>
      </c>
      <c r="S5" s="171" t="str">
        <f ca="1">IF(HowSell="Direct to Processor","",OFFSET(S4,0,0,1,1))</f>
        <v/>
      </c>
      <c r="T5" s="171"/>
    </row>
    <row r="6" spans="2:20" ht="3" customHeight="1" thickBot="1" x14ac:dyDescent="0.25">
      <c r="B6" s="1438"/>
      <c r="C6" s="1435"/>
      <c r="D6" s="1435"/>
      <c r="Q6" s="171"/>
      <c r="R6" s="171"/>
      <c r="S6" s="171"/>
      <c r="T6" s="171"/>
    </row>
    <row r="7" spans="2:20" ht="3" customHeight="1" thickTop="1" x14ac:dyDescent="0.25">
      <c r="B7" s="222"/>
      <c r="C7" s="221"/>
      <c r="D7" s="221"/>
      <c r="Q7" s="171"/>
      <c r="R7" s="171"/>
      <c r="S7" s="171"/>
      <c r="T7" s="171"/>
    </row>
    <row r="8" spans="2:20" ht="3" customHeight="1" x14ac:dyDescent="0.25">
      <c r="B8" s="222"/>
      <c r="C8" s="221"/>
      <c r="D8" s="221"/>
      <c r="Q8" s="171"/>
      <c r="R8" s="171"/>
      <c r="S8" s="171"/>
      <c r="T8" s="171"/>
    </row>
    <row r="9" spans="2:20" x14ac:dyDescent="0.2">
      <c r="B9" t="s">
        <v>506</v>
      </c>
      <c r="C9" s="57" t="s">
        <v>512</v>
      </c>
      <c r="D9"/>
      <c r="F9" s="56"/>
      <c r="Q9" s="171"/>
      <c r="R9" s="171"/>
      <c r="S9" s="171"/>
      <c r="T9" s="171"/>
    </row>
    <row r="10" spans="2:20" ht="3.6" customHeight="1" x14ac:dyDescent="0.2">
      <c r="B10" s="1439" t="s">
        <v>824</v>
      </c>
      <c r="C10" s="1440"/>
      <c r="D10" s="1441"/>
    </row>
    <row r="11" spans="2:20" ht="9.9499999999999993" customHeight="1" x14ac:dyDescent="0.2">
      <c r="B11" s="1442"/>
      <c r="C11" s="1443"/>
      <c r="D11" s="1444"/>
    </row>
    <row r="12" spans="2:20" ht="12" customHeight="1" x14ac:dyDescent="0.2">
      <c r="B12" s="1442"/>
      <c r="C12" s="1443"/>
      <c r="D12" s="1444"/>
    </row>
    <row r="13" spans="2:20" ht="18.75" hidden="1" x14ac:dyDescent="0.3">
      <c r="B13" s="185"/>
      <c r="C13" s="186" t="s">
        <v>52</v>
      </c>
      <c r="D13" s="187" t="s">
        <v>53</v>
      </c>
    </row>
    <row r="14" spans="2:20" ht="13.7" hidden="1" customHeight="1" thickBot="1" x14ac:dyDescent="0.25">
      <c r="B14" s="188" t="s">
        <v>51</v>
      </c>
      <c r="C14" s="53">
        <v>2014</v>
      </c>
      <c r="D14" s="189">
        <v>2015</v>
      </c>
      <c r="G14" s="30"/>
    </row>
    <row r="15" spans="2:20" ht="2.1" customHeight="1" x14ac:dyDescent="0.2">
      <c r="B15" s="190"/>
      <c r="C15" s="156"/>
      <c r="D15" s="65"/>
    </row>
    <row r="16" spans="2:20" ht="15" x14ac:dyDescent="0.2">
      <c r="B16" s="656" t="s">
        <v>437</v>
      </c>
      <c r="C16" s="1445" t="str">
        <f>IF(Name&gt;"",Name,IF(BusName&gt;"",BusName,""))</f>
        <v/>
      </c>
      <c r="D16" s="1446"/>
    </row>
    <row r="17" spans="2:12" x14ac:dyDescent="0.2">
      <c r="B17" s="71" t="s">
        <v>318</v>
      </c>
      <c r="C17" s="273">
        <f>Year</f>
        <v>0</v>
      </c>
      <c r="D17" s="274" t="str">
        <f>CONCATENATE(Year+1," Projected")</f>
        <v>1 Projected</v>
      </c>
      <c r="E17" s="6"/>
      <c r="F17" s="9"/>
      <c r="G17" s="7"/>
      <c r="H17" s="7"/>
      <c r="I17" s="7"/>
      <c r="J17" s="7"/>
      <c r="K17" s="7"/>
      <c r="L17" s="7"/>
    </row>
    <row r="18" spans="2:12" ht="12" customHeight="1" x14ac:dyDescent="0.2">
      <c r="B18" s="978" t="s">
        <v>718</v>
      </c>
      <c r="C18" s="275">
        <f>ACFSalesCropTot</f>
        <v>0</v>
      </c>
      <c r="D18" s="275">
        <f>(MCFSalesCropTot)</f>
        <v>0</v>
      </c>
      <c r="E18" s="172"/>
      <c r="F18" s="172"/>
      <c r="G18" s="7"/>
      <c r="H18" s="7"/>
      <c r="I18" s="7"/>
      <c r="J18" s="7"/>
      <c r="K18" s="7"/>
      <c r="L18" s="7"/>
    </row>
    <row r="19" spans="2:12" ht="12" customHeight="1" x14ac:dyDescent="0.2">
      <c r="B19" s="978" t="s">
        <v>282</v>
      </c>
      <c r="C19" s="276">
        <f>ACFSalesVegFruitTot</f>
        <v>0</v>
      </c>
      <c r="D19" s="276">
        <f>(MCFSalesVegFruitTot)</f>
        <v>0</v>
      </c>
      <c r="E19" s="172"/>
      <c r="F19" s="579"/>
      <c r="G19" s="54"/>
      <c r="H19" s="7"/>
      <c r="I19" s="7"/>
      <c r="J19" s="7"/>
      <c r="K19" s="7"/>
      <c r="L19" s="7"/>
    </row>
    <row r="20" spans="2:12" ht="12" customHeight="1" x14ac:dyDescent="0.2">
      <c r="B20" s="979" t="s">
        <v>323</v>
      </c>
      <c r="C20" s="276">
        <f>ACFSalesLivestockTot</f>
        <v>0</v>
      </c>
      <c r="D20" s="276">
        <f>(MCFSalesLivestockTot)</f>
        <v>0</v>
      </c>
      <c r="E20" s="172"/>
      <c r="F20" s="172"/>
      <c r="G20" s="7"/>
      <c r="H20" s="7"/>
      <c r="I20" s="7"/>
      <c r="J20" s="7"/>
      <c r="K20" s="7"/>
      <c r="L20" s="7"/>
    </row>
    <row r="21" spans="2:12" ht="12" customHeight="1" x14ac:dyDescent="0.2">
      <c r="B21" s="978" t="s">
        <v>283</v>
      </c>
      <c r="C21" s="276">
        <f>ACFSalesLivestockProdTot</f>
        <v>0</v>
      </c>
      <c r="D21" s="276">
        <f>(MCFSalesLivestockProdTot)</f>
        <v>0</v>
      </c>
      <c r="E21" s="172"/>
      <c r="F21" s="579"/>
      <c r="G21" s="54"/>
      <c r="H21" s="7"/>
      <c r="I21" s="7"/>
      <c r="J21" s="7"/>
      <c r="K21" s="7"/>
      <c r="L21" s="7"/>
    </row>
    <row r="22" spans="2:12" ht="12" customHeight="1" x14ac:dyDescent="0.2">
      <c r="B22" s="978" t="s">
        <v>441</v>
      </c>
      <c r="C22" s="276">
        <f>ACFCullIncomeTot</f>
        <v>0</v>
      </c>
      <c r="D22" s="276">
        <f>(MCFCullIncomeTot-MCFLivestockBSValTot)</f>
        <v>0</v>
      </c>
      <c r="E22" s="172"/>
      <c r="F22" s="579"/>
      <c r="G22" s="54"/>
      <c r="H22" s="7"/>
      <c r="I22" s="7"/>
      <c r="J22" s="7"/>
      <c r="K22" s="7"/>
      <c r="L22" s="7"/>
    </row>
    <row r="23" spans="2:12" ht="12" customHeight="1" x14ac:dyDescent="0.2">
      <c r="B23" s="980" t="s">
        <v>772</v>
      </c>
      <c r="C23" s="562">
        <f>ACFINVChangeTot+C74</f>
        <v>0</v>
      </c>
      <c r="D23" s="276">
        <f>(MCFINVChangeTot)</f>
        <v>0</v>
      </c>
      <c r="E23" s="172"/>
      <c r="F23" s="579"/>
      <c r="G23" s="54"/>
      <c r="H23" s="7"/>
      <c r="I23" s="7"/>
      <c r="J23" s="7"/>
      <c r="K23" s="7"/>
      <c r="L23" s="7"/>
    </row>
    <row r="24" spans="2:12" ht="12" customHeight="1" x14ac:dyDescent="0.2">
      <c r="B24" s="978" t="s">
        <v>284</v>
      </c>
      <c r="C24" s="276">
        <f>(ACFGovPayTot)</f>
        <v>0</v>
      </c>
      <c r="D24" s="276">
        <f>(MCFGovPayTot)</f>
        <v>0</v>
      </c>
      <c r="E24" s="172"/>
      <c r="F24" s="579"/>
      <c r="G24" s="54"/>
      <c r="H24" s="7"/>
      <c r="I24" s="7"/>
      <c r="J24" s="7"/>
      <c r="K24" s="7"/>
      <c r="L24" s="7"/>
    </row>
    <row r="25" spans="2:12" ht="12" customHeight="1" x14ac:dyDescent="0.2">
      <c r="B25" s="978" t="s">
        <v>483</v>
      </c>
      <c r="C25" s="276">
        <f>(ACFCropInsIncTot)</f>
        <v>0</v>
      </c>
      <c r="D25" s="276">
        <f>(MCFCropInsIncTot)</f>
        <v>0</v>
      </c>
      <c r="E25" s="172"/>
      <c r="F25" s="579"/>
      <c r="G25" s="54"/>
      <c r="H25" s="7"/>
      <c r="I25" s="7"/>
      <c r="J25" s="7"/>
      <c r="K25" s="7"/>
      <c r="L25" s="7"/>
    </row>
    <row r="26" spans="2:12" ht="12" customHeight="1" x14ac:dyDescent="0.2">
      <c r="B26" s="978" t="s">
        <v>286</v>
      </c>
      <c r="C26" s="276">
        <f>(ACFPatronageTot)</f>
        <v>0</v>
      </c>
      <c r="D26" s="276">
        <f>(MCFPatronageTot)</f>
        <v>0</v>
      </c>
      <c r="E26" s="172"/>
      <c r="F26" s="579"/>
      <c r="G26" s="54"/>
      <c r="H26" s="7"/>
      <c r="I26" s="7"/>
      <c r="J26" s="7"/>
      <c r="K26" s="7"/>
      <c r="L26" s="7"/>
    </row>
    <row r="27" spans="2:12" ht="12" customHeight="1" x14ac:dyDescent="0.2">
      <c r="B27" s="978" t="s">
        <v>368</v>
      </c>
      <c r="C27" s="576">
        <f>ACFGainEquipTot+ACFGainVehTot+ACFGainPurchLivestockTot+ACFGainBuildTot</f>
        <v>0</v>
      </c>
      <c r="D27" s="576">
        <f>MCFGainEquipTot+MCFGainVehTot+MCFGainPurchLivestockTot+MCFGainBuildTot</f>
        <v>0</v>
      </c>
      <c r="E27" s="172"/>
      <c r="F27" s="580"/>
      <c r="G27" s="67"/>
      <c r="I27" s="7"/>
      <c r="J27" s="7"/>
      <c r="K27" s="7"/>
      <c r="L27" s="7"/>
    </row>
    <row r="28" spans="2:12" ht="12" customHeight="1" x14ac:dyDescent="0.2">
      <c r="B28" s="981" t="s">
        <v>280</v>
      </c>
      <c r="C28" s="276">
        <f>(ACFIncCustomWorkTot)</f>
        <v>0</v>
      </c>
      <c r="D28" s="276">
        <f>(MCFIncCustomWorkTot)</f>
        <v>0</v>
      </c>
      <c r="E28" s="172"/>
      <c r="F28" s="172"/>
      <c r="G28" s="7"/>
      <c r="H28" s="7"/>
      <c r="I28" s="7"/>
      <c r="J28" s="7"/>
      <c r="K28" s="7"/>
      <c r="L28" s="7"/>
    </row>
    <row r="29" spans="2:12" ht="12" customHeight="1" x14ac:dyDescent="0.2">
      <c r="B29" s="982" t="s">
        <v>0</v>
      </c>
      <c r="C29" s="276">
        <f>(ACFOthTot)</f>
        <v>0</v>
      </c>
      <c r="D29" s="276">
        <f>(MCFOthTot)</f>
        <v>0</v>
      </c>
      <c r="E29" s="172"/>
      <c r="F29" s="172"/>
      <c r="G29" s="7"/>
      <c r="H29" s="7"/>
      <c r="I29" s="7"/>
      <c r="J29" s="7"/>
      <c r="K29" s="7"/>
      <c r="L29" s="7"/>
    </row>
    <row r="30" spans="2:12" x14ac:dyDescent="0.2">
      <c r="B30" s="178" t="s">
        <v>319</v>
      </c>
      <c r="C30" s="272">
        <f>SUM(C18:C29)</f>
        <v>0</v>
      </c>
      <c r="D30" s="272">
        <f>SUM(D18:D29)</f>
        <v>0</v>
      </c>
      <c r="E30" s="172">
        <f ca="1">OFFSET(C30,0,0,1,1)</f>
        <v>0</v>
      </c>
      <c r="F30" s="172">
        <f ca="1">OFFSET(D30,0,0,1,1)</f>
        <v>0</v>
      </c>
      <c r="G30" s="7"/>
      <c r="H30" s="7"/>
      <c r="I30" s="7"/>
      <c r="J30" s="7"/>
      <c r="K30" s="7"/>
      <c r="L30" s="7"/>
    </row>
    <row r="31" spans="2:12" ht="1.5" customHeight="1" x14ac:dyDescent="0.2">
      <c r="B31" s="191"/>
      <c r="C31" s="62"/>
      <c r="D31" s="65"/>
      <c r="E31" s="172"/>
      <c r="F31" s="172"/>
      <c r="G31" s="7"/>
      <c r="H31" s="7"/>
      <c r="I31" s="7"/>
      <c r="J31" s="7"/>
      <c r="K31" s="7"/>
      <c r="L31" s="7"/>
    </row>
    <row r="32" spans="2:12" ht="12" customHeight="1" x14ac:dyDescent="0.2">
      <c r="B32" s="71" t="s">
        <v>695</v>
      </c>
      <c r="C32" s="62"/>
      <c r="D32" s="65"/>
      <c r="E32" s="172"/>
      <c r="F32" s="172"/>
      <c r="G32" s="9"/>
      <c r="H32" s="7"/>
      <c r="I32" s="7"/>
      <c r="J32" s="7"/>
      <c r="K32" s="7"/>
      <c r="L32" s="7"/>
    </row>
    <row r="33" spans="2:16" ht="12" customHeight="1" x14ac:dyDescent="0.2">
      <c r="B33" s="977" t="s">
        <v>292</v>
      </c>
      <c r="C33" s="276">
        <f>(ACFVCSeedTot)</f>
        <v>0</v>
      </c>
      <c r="D33" s="276">
        <f>(MCFVCSeedTot)</f>
        <v>0</v>
      </c>
      <c r="E33" s="581">
        <f ca="1">OFFSET(C33,0,0,1,1)</f>
        <v>0</v>
      </c>
      <c r="F33" s="172">
        <f ca="1">OFFSET(D33,0,0,1,1)</f>
        <v>0</v>
      </c>
      <c r="G33" s="7"/>
      <c r="H33" s="7"/>
      <c r="I33" s="7"/>
      <c r="J33" s="7"/>
      <c r="K33" s="7"/>
      <c r="L33" s="171" t="e">
        <f t="shared" ref="L33:L59" ca="1" si="0">IF(ScorecardGraphNumber=1,IF(C33&lt;&gt;0,OFFSET(C33,0,0,1,1),NA()),IF(D33&lt;&gt;0,OFFSET(D33,0,0,1,1),NA()))</f>
        <v>#N/A</v>
      </c>
      <c r="M33" s="171" t="e">
        <f t="shared" ref="M33:M59" si="1">IF(ScorecardGraphNumber=1,IF(C33&lt;&gt;0,B33,NA()),IF(D33&lt;&gt;0,B33,NA()))</f>
        <v>#N/A</v>
      </c>
    </row>
    <row r="34" spans="2:16" ht="12" customHeight="1" x14ac:dyDescent="0.2">
      <c r="B34" s="977" t="s">
        <v>304</v>
      </c>
      <c r="C34" s="276">
        <f>(ACFVCFertilizerTot)</f>
        <v>0</v>
      </c>
      <c r="D34" s="276">
        <f>(MCFVCFertilizerTot)</f>
        <v>0</v>
      </c>
      <c r="E34" s="171">
        <f ca="1">OFFSET(C34,0,0,1,1)</f>
        <v>0</v>
      </c>
      <c r="F34" s="172">
        <f t="shared" ref="F34:F60" ca="1" si="2">OFFSET(D34,0,0,1,1)</f>
        <v>0</v>
      </c>
      <c r="L34" s="171" t="e">
        <f t="shared" ca="1" si="0"/>
        <v>#N/A</v>
      </c>
      <c r="M34" s="171" t="e">
        <f t="shared" si="1"/>
        <v>#N/A</v>
      </c>
      <c r="P34" s="414" t="str">
        <f>CONCATENATE(B32," ",ScorecardGraphsChoice)</f>
        <v>Direct Ag Expenses 1 Projected</v>
      </c>
    </row>
    <row r="35" spans="2:16" ht="12" customHeight="1" x14ac:dyDescent="0.2">
      <c r="B35" s="977" t="s">
        <v>305</v>
      </c>
      <c r="C35" s="276">
        <f>(ACFVCChemTot)</f>
        <v>0</v>
      </c>
      <c r="D35" s="276">
        <f>(MCFVCChemTot)</f>
        <v>0</v>
      </c>
      <c r="E35" s="171">
        <f ca="1">OFFSET(C35,0,0,1,1)</f>
        <v>0</v>
      </c>
      <c r="F35" s="172">
        <f t="shared" ca="1" si="2"/>
        <v>0</v>
      </c>
      <c r="L35" s="171" t="e">
        <f t="shared" ca="1" si="0"/>
        <v>#N/A</v>
      </c>
      <c r="M35" s="171" t="e">
        <f t="shared" si="1"/>
        <v>#N/A</v>
      </c>
    </row>
    <row r="36" spans="2:16" ht="12" customHeight="1" x14ac:dyDescent="0.2">
      <c r="B36" s="977" t="s">
        <v>285</v>
      </c>
      <c r="C36" s="276">
        <f>(ACFVCCropInsTot)</f>
        <v>0</v>
      </c>
      <c r="D36" s="276">
        <f>(MCFVCCropInsTot)</f>
        <v>0</v>
      </c>
      <c r="E36" s="171">
        <f ca="1">OFFSET(C36,0,0,1,1)</f>
        <v>0</v>
      </c>
      <c r="F36" s="172">
        <f t="shared" ca="1" si="2"/>
        <v>0</v>
      </c>
      <c r="L36" s="171" t="e">
        <f t="shared" ca="1" si="0"/>
        <v>#N/A</v>
      </c>
      <c r="M36" s="171" t="e">
        <f t="shared" si="1"/>
        <v>#N/A</v>
      </c>
    </row>
    <row r="37" spans="2:16" ht="12" customHeight="1" x14ac:dyDescent="0.2">
      <c r="B37" s="977" t="s">
        <v>316</v>
      </c>
      <c r="C37" s="276">
        <f>(ACFVCDryingTot)</f>
        <v>0</v>
      </c>
      <c r="D37" s="276">
        <f>(MCFVCDryingTot)</f>
        <v>0</v>
      </c>
      <c r="E37" s="172">
        <f ca="1">OFFSET(C37,0,0,1,1)</f>
        <v>0</v>
      </c>
      <c r="F37" s="172">
        <f t="shared" ca="1" si="2"/>
        <v>0</v>
      </c>
      <c r="G37" s="7"/>
      <c r="H37" s="7"/>
      <c r="I37" s="7"/>
      <c r="J37" s="7"/>
      <c r="K37" s="7"/>
      <c r="L37" s="171" t="e">
        <f t="shared" ca="1" si="0"/>
        <v>#N/A</v>
      </c>
      <c r="M37" s="171" t="e">
        <f t="shared" si="1"/>
        <v>#N/A</v>
      </c>
    </row>
    <row r="38" spans="2:16" s="6" customFormat="1" ht="12" customHeight="1" x14ac:dyDescent="0.2">
      <c r="B38" s="977" t="s">
        <v>307</v>
      </c>
      <c r="C38" s="276">
        <f>(ACFVCStorageTot)</f>
        <v>0</v>
      </c>
      <c r="D38" s="276">
        <f>(MCFVCStorageTot)</f>
        <v>0</v>
      </c>
      <c r="E38" s="172">
        <f ca="1">OFFSET(C38,0,0,1,1)</f>
        <v>0</v>
      </c>
      <c r="F38" s="172">
        <f t="shared" ca="1" si="2"/>
        <v>0</v>
      </c>
      <c r="G38" s="9"/>
      <c r="H38" s="9"/>
      <c r="I38" s="9"/>
      <c r="J38" s="9"/>
      <c r="K38" s="9"/>
      <c r="L38" s="171" t="e">
        <f t="shared" ca="1" si="0"/>
        <v>#N/A</v>
      </c>
      <c r="M38" s="171" t="e">
        <f t="shared" si="1"/>
        <v>#N/A</v>
      </c>
    </row>
    <row r="39" spans="2:16" s="6" customFormat="1" ht="12" customHeight="1" x14ac:dyDescent="0.2">
      <c r="B39" s="977" t="s">
        <v>308</v>
      </c>
      <c r="C39" s="275">
        <f>(ACFVCGreenhouseSuppliesTot)</f>
        <v>0</v>
      </c>
      <c r="D39" s="276">
        <f>(MCFVCGreenhouseSuppliesTot)</f>
        <v>0</v>
      </c>
      <c r="E39" s="172">
        <f t="shared" ref="E39:E60" ca="1" si="3">OFFSET(C39,0,0,1,1)</f>
        <v>0</v>
      </c>
      <c r="F39" s="172">
        <f t="shared" ca="1" si="2"/>
        <v>0</v>
      </c>
      <c r="G39" s="9"/>
      <c r="H39" s="9"/>
      <c r="I39" s="9"/>
      <c r="J39" s="9"/>
      <c r="K39" s="9"/>
      <c r="L39" s="171" t="e">
        <f t="shared" ca="1" si="0"/>
        <v>#N/A</v>
      </c>
      <c r="M39" s="171" t="e">
        <f t="shared" si="1"/>
        <v>#N/A</v>
      </c>
    </row>
    <row r="40" spans="2:16" s="6" customFormat="1" ht="12" customHeight="1" x14ac:dyDescent="0.2">
      <c r="B40" s="977" t="s">
        <v>309</v>
      </c>
      <c r="C40" s="275">
        <f>(ACFVCCropSuppliesTot)</f>
        <v>0</v>
      </c>
      <c r="D40" s="276">
        <f>(MCFVCCropSuppliesTot)</f>
        <v>0</v>
      </c>
      <c r="E40" s="172">
        <f t="shared" ca="1" si="3"/>
        <v>0</v>
      </c>
      <c r="F40" s="172">
        <f t="shared" ca="1" si="2"/>
        <v>0</v>
      </c>
      <c r="G40" s="9"/>
      <c r="H40" s="9"/>
      <c r="I40" s="9"/>
      <c r="J40" s="9"/>
      <c r="K40" s="9"/>
      <c r="L40" s="171" t="e">
        <f t="shared" ca="1" si="0"/>
        <v>#N/A</v>
      </c>
      <c r="M40" s="171" t="e">
        <f t="shared" si="1"/>
        <v>#N/A</v>
      </c>
    </row>
    <row r="41" spans="2:16" s="6" customFormat="1" ht="12" customHeight="1" x14ac:dyDescent="0.2">
      <c r="B41" s="977" t="s">
        <v>310</v>
      </c>
      <c r="C41" s="275">
        <f>(ACFVCIrrigationTot)</f>
        <v>0</v>
      </c>
      <c r="D41" s="276">
        <f>(MCFVCIrrigationTot)</f>
        <v>0</v>
      </c>
      <c r="E41" s="172">
        <f t="shared" ca="1" si="3"/>
        <v>0</v>
      </c>
      <c r="F41" s="172">
        <f t="shared" ca="1" si="2"/>
        <v>0</v>
      </c>
      <c r="G41" s="9"/>
      <c r="H41" s="9"/>
      <c r="I41" s="9"/>
      <c r="J41" s="9"/>
      <c r="K41" s="9"/>
      <c r="L41" s="171" t="e">
        <f t="shared" ca="1" si="0"/>
        <v>#N/A</v>
      </c>
      <c r="M41" s="171" t="e">
        <f t="shared" si="1"/>
        <v>#N/A</v>
      </c>
    </row>
    <row r="42" spans="2:16" s="6" customFormat="1" ht="12" customHeight="1" x14ac:dyDescent="0.2">
      <c r="B42" s="977" t="s">
        <v>482</v>
      </c>
      <c r="C42" s="275">
        <f>(ACFVCCropConsultTot)+(ACFVCLivestockConsultTot)</f>
        <v>0</v>
      </c>
      <c r="D42" s="276">
        <f>(MCFVCCropConsultTot)+(MCFVCLivestockConsultTot)</f>
        <v>0</v>
      </c>
      <c r="E42" s="172">
        <f t="shared" ca="1" si="3"/>
        <v>0</v>
      </c>
      <c r="F42" s="172">
        <f t="shared" ca="1" si="2"/>
        <v>0</v>
      </c>
      <c r="G42" s="9"/>
      <c r="H42" s="9"/>
      <c r="I42" s="9"/>
      <c r="J42" s="9"/>
      <c r="K42" s="9"/>
      <c r="L42" s="171" t="e">
        <f t="shared" ca="1" si="0"/>
        <v>#N/A</v>
      </c>
      <c r="M42" s="171" t="e">
        <f t="shared" si="1"/>
        <v>#N/A</v>
      </c>
    </row>
    <row r="43" spans="2:16" s="6" customFormat="1" ht="12" customHeight="1" x14ac:dyDescent="0.2">
      <c r="B43" s="977" t="s">
        <v>317</v>
      </c>
      <c r="C43" s="275">
        <f>(ACFVCCropMarketingTot)</f>
        <v>0</v>
      </c>
      <c r="D43" s="276">
        <f>(MCFVCCropMarketingTot)</f>
        <v>0</v>
      </c>
      <c r="E43" s="172">
        <f t="shared" ca="1" si="3"/>
        <v>0</v>
      </c>
      <c r="F43" s="172">
        <f t="shared" ca="1" si="2"/>
        <v>0</v>
      </c>
      <c r="G43" s="9"/>
      <c r="H43" s="9"/>
      <c r="I43" s="9"/>
      <c r="J43" s="9"/>
      <c r="K43" s="9"/>
      <c r="L43" s="171" t="e">
        <f t="shared" ca="1" si="0"/>
        <v>#N/A</v>
      </c>
      <c r="M43" s="171" t="e">
        <f t="shared" si="1"/>
        <v>#N/A</v>
      </c>
    </row>
    <row r="44" spans="2:16" s="6" customFormat="1" ht="12" customHeight="1" x14ac:dyDescent="0.2">
      <c r="B44" s="977" t="s">
        <v>300</v>
      </c>
      <c r="C44" s="275">
        <f>(ACFVCFeederLivestockTot)</f>
        <v>0</v>
      </c>
      <c r="D44" s="276">
        <f>(MCFVCFeederLivestockTot)</f>
        <v>0</v>
      </c>
      <c r="E44" s="172">
        <f t="shared" ca="1" si="3"/>
        <v>0</v>
      </c>
      <c r="F44" s="172">
        <f t="shared" ca="1" si="2"/>
        <v>0</v>
      </c>
      <c r="G44" s="9"/>
      <c r="H44" s="9"/>
      <c r="I44" s="9"/>
      <c r="J44" s="9"/>
      <c r="K44" s="9"/>
      <c r="L44" s="171" t="e">
        <f t="shared" ca="1" si="0"/>
        <v>#N/A</v>
      </c>
      <c r="M44" s="171" t="e">
        <f t="shared" si="1"/>
        <v>#N/A</v>
      </c>
    </row>
    <row r="45" spans="2:16" s="6" customFormat="1" ht="12" customHeight="1" x14ac:dyDescent="0.2">
      <c r="B45" s="977" t="s">
        <v>301</v>
      </c>
      <c r="C45" s="275">
        <f>(ACFVCPurchFeedTot)</f>
        <v>0</v>
      </c>
      <c r="D45" s="276">
        <f>(MCFVCPurchFeedTot)</f>
        <v>0</v>
      </c>
      <c r="E45" s="172">
        <f t="shared" ca="1" si="3"/>
        <v>0</v>
      </c>
      <c r="F45" s="172">
        <f t="shared" ca="1" si="2"/>
        <v>0</v>
      </c>
      <c r="G45" s="9"/>
      <c r="H45" s="9"/>
      <c r="I45" s="9"/>
      <c r="J45" s="9"/>
      <c r="K45" s="9"/>
      <c r="L45" s="171" t="e">
        <f t="shared" ca="1" si="0"/>
        <v>#N/A</v>
      </c>
      <c r="M45" s="171" t="e">
        <f t="shared" si="1"/>
        <v>#N/A</v>
      </c>
    </row>
    <row r="46" spans="2:16" ht="12" customHeight="1" x14ac:dyDescent="0.2">
      <c r="B46" s="977" t="s">
        <v>511</v>
      </c>
      <c r="C46" s="275">
        <f>(ACFVCVetTot)</f>
        <v>0</v>
      </c>
      <c r="D46" s="276">
        <f>(MCFVCVetTot)</f>
        <v>0</v>
      </c>
      <c r="E46" s="171">
        <f t="shared" ca="1" si="3"/>
        <v>0</v>
      </c>
      <c r="F46" s="172">
        <f t="shared" ca="1" si="2"/>
        <v>0</v>
      </c>
      <c r="L46" s="171" t="e">
        <f t="shared" ca="1" si="0"/>
        <v>#N/A</v>
      </c>
      <c r="M46" s="171" t="e">
        <f t="shared" si="1"/>
        <v>#N/A</v>
      </c>
    </row>
    <row r="47" spans="2:16" ht="12" customHeight="1" x14ac:dyDescent="0.2">
      <c r="B47" s="977" t="s">
        <v>294</v>
      </c>
      <c r="C47" s="275">
        <f>(ACFVCLivestockSuppliesTot)</f>
        <v>0</v>
      </c>
      <c r="D47" s="276">
        <f>(MCFVCLivestockSuppliesTot)</f>
        <v>0</v>
      </c>
      <c r="E47" s="581">
        <f t="shared" ca="1" si="3"/>
        <v>0</v>
      </c>
      <c r="F47" s="172">
        <f t="shared" ca="1" si="2"/>
        <v>0</v>
      </c>
      <c r="G47" s="7"/>
      <c r="H47" s="7"/>
      <c r="I47" s="7"/>
      <c r="J47" s="7"/>
      <c r="K47" s="7"/>
      <c r="L47" s="171" t="e">
        <f t="shared" ca="1" si="0"/>
        <v>#N/A</v>
      </c>
      <c r="M47" s="171" t="e">
        <f t="shared" si="1"/>
        <v>#N/A</v>
      </c>
    </row>
    <row r="48" spans="2:16" ht="12" customHeight="1" x14ac:dyDescent="0.2">
      <c r="B48" s="977" t="s">
        <v>299</v>
      </c>
      <c r="C48" s="275">
        <f>(ACFVCLivestockInsuranceTot)</f>
        <v>0</v>
      </c>
      <c r="D48" s="276">
        <f>(MCFVCLivestockInsuranceTot)</f>
        <v>0</v>
      </c>
      <c r="E48" s="581">
        <f t="shared" ca="1" si="3"/>
        <v>0</v>
      </c>
      <c r="F48" s="172">
        <f t="shared" ca="1" si="2"/>
        <v>0</v>
      </c>
      <c r="G48" s="7"/>
      <c r="H48" s="7"/>
      <c r="I48" s="7"/>
      <c r="J48" s="7"/>
      <c r="K48" s="7"/>
      <c r="L48" s="171" t="e">
        <f t="shared" ca="1" si="0"/>
        <v>#N/A</v>
      </c>
      <c r="M48" s="171" t="e">
        <f t="shared" si="1"/>
        <v>#N/A</v>
      </c>
    </row>
    <row r="49" spans="2:14" ht="12" customHeight="1" x14ac:dyDescent="0.2">
      <c r="B49" s="977" t="s">
        <v>298</v>
      </c>
      <c r="C49" s="275">
        <f>(ACFVCGrazingTot)</f>
        <v>0</v>
      </c>
      <c r="D49" s="276">
        <f>(MCFVCGrazingTot)</f>
        <v>0</v>
      </c>
      <c r="E49" s="581">
        <f t="shared" ca="1" si="3"/>
        <v>0</v>
      </c>
      <c r="F49" s="172">
        <f t="shared" ca="1" si="2"/>
        <v>0</v>
      </c>
      <c r="G49" s="7"/>
      <c r="H49" s="7"/>
      <c r="I49" s="7"/>
      <c r="J49" s="7"/>
      <c r="K49" s="7"/>
      <c r="L49" s="171" t="e">
        <f t="shared" ca="1" si="0"/>
        <v>#N/A</v>
      </c>
      <c r="M49" s="171" t="e">
        <f t="shared" si="1"/>
        <v>#N/A</v>
      </c>
    </row>
    <row r="50" spans="2:14" ht="12" customHeight="1" x14ac:dyDescent="0.2">
      <c r="B50" s="977" t="s">
        <v>297</v>
      </c>
      <c r="C50" s="275">
        <f>(ACFVCGovProgTot)</f>
        <v>0</v>
      </c>
      <c r="D50" s="276">
        <f>(MCFVCGovProgTot)</f>
        <v>0</v>
      </c>
      <c r="E50" s="171">
        <f t="shared" ca="1" si="3"/>
        <v>0</v>
      </c>
      <c r="F50" s="172">
        <f t="shared" ca="1" si="2"/>
        <v>0</v>
      </c>
      <c r="L50" s="171" t="e">
        <f t="shared" ca="1" si="0"/>
        <v>#N/A</v>
      </c>
      <c r="M50" s="171" t="e">
        <f t="shared" si="1"/>
        <v>#N/A</v>
      </c>
    </row>
    <row r="51" spans="2:14" ht="12" customHeight="1" x14ac:dyDescent="0.2">
      <c r="B51" s="977" t="s">
        <v>295</v>
      </c>
      <c r="C51" s="275">
        <f>(ACFVCLivestockMarketingTot)</f>
        <v>0</v>
      </c>
      <c r="D51" s="276">
        <f>(MCFVCLivestockMarketingTot)</f>
        <v>0</v>
      </c>
      <c r="E51" s="581">
        <f t="shared" ca="1" si="3"/>
        <v>0</v>
      </c>
      <c r="F51" s="172">
        <f t="shared" ca="1" si="2"/>
        <v>0</v>
      </c>
      <c r="G51" s="7"/>
      <c r="H51" s="7"/>
      <c r="I51" s="7"/>
      <c r="J51" s="7"/>
      <c r="K51" s="7"/>
      <c r="L51" s="171" t="e">
        <f t="shared" ca="1" si="0"/>
        <v>#N/A</v>
      </c>
      <c r="M51" s="171" t="e">
        <f t="shared" si="1"/>
        <v>#N/A</v>
      </c>
    </row>
    <row r="52" spans="2:14" s="6" customFormat="1" ht="12" customHeight="1" x14ac:dyDescent="0.2">
      <c r="B52" s="977" t="s">
        <v>287</v>
      </c>
      <c r="C52" s="275">
        <f>(ACFFCLandRentTot)</f>
        <v>0</v>
      </c>
      <c r="D52" s="276">
        <f>(MCFFCLandRentTot)</f>
        <v>0</v>
      </c>
      <c r="E52" s="581">
        <f t="shared" ca="1" si="3"/>
        <v>0</v>
      </c>
      <c r="F52" s="172">
        <f t="shared" ca="1" si="2"/>
        <v>0</v>
      </c>
      <c r="G52" s="9"/>
      <c r="H52" s="9"/>
      <c r="I52" s="9"/>
      <c r="J52" s="9"/>
      <c r="K52" s="9"/>
      <c r="L52" s="171" t="e">
        <f t="shared" ca="1" si="0"/>
        <v>#N/A</v>
      </c>
      <c r="M52" s="171" t="e">
        <f t="shared" si="1"/>
        <v>#N/A</v>
      </c>
      <c r="N52" s="3"/>
    </row>
    <row r="53" spans="2:14" ht="12" customHeight="1" x14ac:dyDescent="0.2">
      <c r="B53" s="977" t="s">
        <v>44</v>
      </c>
      <c r="C53" s="275">
        <f>(ACFVCFuelTot)</f>
        <v>0</v>
      </c>
      <c r="D53" s="276">
        <f>(MCFVCFuelTot)</f>
        <v>0</v>
      </c>
      <c r="E53" s="581">
        <f t="shared" ca="1" si="3"/>
        <v>0</v>
      </c>
      <c r="F53" s="172">
        <f t="shared" ca="1" si="2"/>
        <v>0</v>
      </c>
      <c r="G53" s="7"/>
      <c r="H53" s="7"/>
      <c r="I53" s="7"/>
      <c r="J53" s="7"/>
      <c r="K53" s="7"/>
      <c r="L53" s="171" t="e">
        <f t="shared" ca="1" si="0"/>
        <v>#N/A</v>
      </c>
      <c r="M53" s="171" t="e">
        <f t="shared" si="1"/>
        <v>#N/A</v>
      </c>
    </row>
    <row r="54" spans="2:14" ht="12" customHeight="1" x14ac:dyDescent="0.2">
      <c r="B54" s="977" t="s">
        <v>70</v>
      </c>
      <c r="C54" s="275">
        <f>(ACFVCRepairsTot)</f>
        <v>0</v>
      </c>
      <c r="D54" s="276">
        <f>(MCFVCRepairsTot)</f>
        <v>0</v>
      </c>
      <c r="E54" s="581">
        <f t="shared" ca="1" si="3"/>
        <v>0</v>
      </c>
      <c r="F54" s="172">
        <f t="shared" ca="1" si="2"/>
        <v>0</v>
      </c>
      <c r="G54" s="7"/>
      <c r="H54" s="7"/>
      <c r="I54" s="7"/>
      <c r="J54" s="7"/>
      <c r="K54" s="7"/>
      <c r="L54" s="171" t="e">
        <f t="shared" ca="1" si="0"/>
        <v>#N/A</v>
      </c>
      <c r="M54" s="171" t="e">
        <f t="shared" si="1"/>
        <v>#N/A</v>
      </c>
    </row>
    <row r="55" spans="2:14" ht="12" customHeight="1" x14ac:dyDescent="0.2">
      <c r="B55" s="977" t="s">
        <v>291</v>
      </c>
      <c r="C55" s="275">
        <f>(ACFVCLaborTot)</f>
        <v>0</v>
      </c>
      <c r="D55" s="276">
        <f>(MCFVCLaborTot)</f>
        <v>0</v>
      </c>
      <c r="E55" s="172">
        <f t="shared" ca="1" si="3"/>
        <v>0</v>
      </c>
      <c r="F55" s="172">
        <f t="shared" ca="1" si="2"/>
        <v>0</v>
      </c>
      <c r="G55" s="7"/>
      <c r="H55" s="7"/>
      <c r="I55" s="7"/>
      <c r="J55" s="7"/>
      <c r="K55" s="7"/>
      <c r="L55" s="171" t="e">
        <f t="shared" ca="1" si="0"/>
        <v>#N/A</v>
      </c>
      <c r="M55" s="171" t="e">
        <f t="shared" si="1"/>
        <v>#N/A</v>
      </c>
    </row>
    <row r="56" spans="2:14" ht="12" customHeight="1" x14ac:dyDescent="0.2">
      <c r="B56" s="977" t="s">
        <v>293</v>
      </c>
      <c r="C56" s="275">
        <f>(ACFVCCustomHireTot)</f>
        <v>0</v>
      </c>
      <c r="D56" s="276">
        <f>(MCFVCCustomHireTot)</f>
        <v>0</v>
      </c>
      <c r="E56" s="581">
        <f t="shared" ca="1" si="3"/>
        <v>0</v>
      </c>
      <c r="F56" s="172">
        <f t="shared" ca="1" si="2"/>
        <v>0</v>
      </c>
      <c r="G56" s="7"/>
      <c r="H56" s="7"/>
      <c r="I56" s="7"/>
      <c r="J56" s="7"/>
      <c r="K56" s="7"/>
      <c r="L56" s="171" t="e">
        <f t="shared" ca="1" si="0"/>
        <v>#N/A</v>
      </c>
      <c r="M56" s="171" t="e">
        <f t="shared" si="1"/>
        <v>#N/A</v>
      </c>
    </row>
    <row r="57" spans="2:14" ht="12" customHeight="1" x14ac:dyDescent="0.2">
      <c r="B57" s="977" t="s">
        <v>46</v>
      </c>
      <c r="C57" s="275">
        <f>(ACFVCUtilTot)</f>
        <v>0</v>
      </c>
      <c r="D57" s="276">
        <f>(MCFVCUtilTot)</f>
        <v>0</v>
      </c>
      <c r="E57" s="581">
        <f t="shared" ca="1" si="3"/>
        <v>0</v>
      </c>
      <c r="F57" s="172">
        <f t="shared" ca="1" si="2"/>
        <v>0</v>
      </c>
      <c r="G57" s="7"/>
      <c r="H57" s="7"/>
      <c r="I57" s="7"/>
      <c r="J57" s="7"/>
      <c r="K57" s="7"/>
      <c r="L57" s="171" t="e">
        <f t="shared" ca="1" si="0"/>
        <v>#N/A</v>
      </c>
      <c r="M57" s="171" t="e">
        <f t="shared" si="1"/>
        <v>#N/A</v>
      </c>
    </row>
    <row r="58" spans="2:14" ht="12" customHeight="1" x14ac:dyDescent="0.2">
      <c r="B58" s="977" t="s">
        <v>45</v>
      </c>
      <c r="C58" s="276">
        <f>(ACFVCTaxesTot)+(ACFFCPermitTot)</f>
        <v>0</v>
      </c>
      <c r="D58" s="276">
        <f>(MCFVCTaxesTot)+(MCFFCPermitTot)</f>
        <v>0</v>
      </c>
      <c r="E58" s="581">
        <f t="shared" ca="1" si="3"/>
        <v>0</v>
      </c>
      <c r="F58" s="172">
        <f t="shared" ca="1" si="2"/>
        <v>0</v>
      </c>
      <c r="G58" s="7"/>
      <c r="H58" s="7"/>
      <c r="I58" s="7"/>
      <c r="J58" s="7"/>
      <c r="K58" s="7"/>
      <c r="L58" s="171" t="e">
        <f t="shared" ca="1" si="0"/>
        <v>#N/A</v>
      </c>
      <c r="M58" s="171" t="e">
        <f t="shared" si="1"/>
        <v>#N/A</v>
      </c>
    </row>
    <row r="59" spans="2:14" ht="12" customHeight="1" x14ac:dyDescent="0.2">
      <c r="B59" s="977" t="s">
        <v>369</v>
      </c>
      <c r="C59" s="276">
        <f>(ACFVCOthTot)</f>
        <v>0</v>
      </c>
      <c r="D59" s="276">
        <f>(MCFVCOthTot)</f>
        <v>0</v>
      </c>
      <c r="E59" s="172">
        <f t="shared" ca="1" si="3"/>
        <v>0</v>
      </c>
      <c r="F59" s="172">
        <f t="shared" ca="1" si="2"/>
        <v>0</v>
      </c>
      <c r="G59" s="7"/>
      <c r="H59" s="7"/>
      <c r="I59" s="7"/>
      <c r="J59" s="7"/>
      <c r="K59" s="7"/>
      <c r="L59" s="171" t="e">
        <f t="shared" ca="1" si="0"/>
        <v>#N/A</v>
      </c>
      <c r="M59" s="171" t="e">
        <f t="shared" si="1"/>
        <v>#N/A</v>
      </c>
    </row>
    <row r="60" spans="2:14" ht="12" customHeight="1" x14ac:dyDescent="0.2">
      <c r="B60" s="178" t="s">
        <v>696</v>
      </c>
      <c r="C60" s="272">
        <f>SUM(C33:C59)</f>
        <v>0</v>
      </c>
      <c r="D60" s="272">
        <f>SUM(D33:D59)</f>
        <v>0</v>
      </c>
      <c r="E60" s="171">
        <f t="shared" ca="1" si="3"/>
        <v>0</v>
      </c>
      <c r="F60" s="172">
        <f t="shared" ca="1" si="2"/>
        <v>0</v>
      </c>
      <c r="G60" s="7"/>
      <c r="H60" s="7"/>
      <c r="I60" s="7"/>
      <c r="J60" s="7"/>
      <c r="K60" s="7"/>
      <c r="L60" s="415"/>
    </row>
    <row r="61" spans="2:14" ht="1.5" customHeight="1" x14ac:dyDescent="0.2">
      <c r="B61" s="191"/>
      <c r="C61" s="62"/>
      <c r="D61" s="65"/>
      <c r="E61" s="414"/>
      <c r="F61" s="7"/>
      <c r="G61" s="7"/>
      <c r="H61" s="7"/>
      <c r="I61" s="7"/>
      <c r="J61" s="7"/>
      <c r="K61" s="7"/>
      <c r="L61" s="7"/>
    </row>
    <row r="62" spans="2:14" x14ac:dyDescent="0.2">
      <c r="B62" s="71" t="s">
        <v>697</v>
      </c>
      <c r="C62" s="62"/>
      <c r="D62" s="65"/>
      <c r="E62" s="414"/>
      <c r="F62" s="7"/>
      <c r="G62" s="7"/>
      <c r="H62" s="7"/>
      <c r="I62" s="7"/>
      <c r="J62" s="7"/>
      <c r="K62" s="7"/>
      <c r="L62" s="7"/>
    </row>
    <row r="63" spans="2:14" s="6" customFormat="1" ht="12" customHeight="1" x14ac:dyDescent="0.2">
      <c r="B63" s="983" t="s">
        <v>290</v>
      </c>
      <c r="C63" s="275">
        <f>(ACFFCMachLeaseTot)</f>
        <v>0</v>
      </c>
      <c r="D63" s="275">
        <f>(MCFFCMachLeaseTot)</f>
        <v>0</v>
      </c>
      <c r="E63" s="172">
        <f ca="1">OFFSET(C63,0,0,1,1)</f>
        <v>0</v>
      </c>
      <c r="F63" s="172">
        <f ca="1">OFFSET(D63,0,0,1,1)</f>
        <v>0</v>
      </c>
      <c r="G63" s="9"/>
      <c r="H63" s="9"/>
      <c r="I63" s="9"/>
      <c r="J63" s="9"/>
      <c r="K63" s="9"/>
      <c r="L63" s="9"/>
    </row>
    <row r="64" spans="2:14" s="6" customFormat="1" ht="12" customHeight="1" x14ac:dyDescent="0.2">
      <c r="B64" s="977" t="s">
        <v>72</v>
      </c>
      <c r="C64" s="276">
        <f>ACFFCTermInterestTot+ACFFCOpLoanInterestTot</f>
        <v>0</v>
      </c>
      <c r="D64" s="276">
        <f>MCFFCTermInterestTot+MCFFCOpLoanInterestTot</f>
        <v>0</v>
      </c>
      <c r="E64" s="581">
        <f t="shared" ref="E64:E75" ca="1" si="4">OFFSET(C64,0,0,1,1)</f>
        <v>0</v>
      </c>
      <c r="F64" s="172">
        <f t="shared" ref="F64:F75" ca="1" si="5">OFFSET(D64,0,0,1,1)</f>
        <v>0</v>
      </c>
      <c r="G64" s="9"/>
      <c r="H64" s="9"/>
      <c r="I64" s="9"/>
      <c r="J64" s="9"/>
      <c r="K64" s="9"/>
      <c r="L64" s="9"/>
    </row>
    <row r="65" spans="2:13" s="6" customFormat="1" ht="12" customHeight="1" x14ac:dyDescent="0.2">
      <c r="B65" s="977" t="s">
        <v>395</v>
      </c>
      <c r="C65" s="276">
        <f>(ACFFCDeprEquipTot+ACFFCDeprLivestockTot+ACFFCDeprBuildTot+ACFFCDeprVehTot)</f>
        <v>0</v>
      </c>
      <c r="D65" s="276">
        <f>(MCFFCDeprEquipTot+MCFFCDeprLivestockTot+MCFFCDeprBuildTot+MCFFCDeprVehTot)</f>
        <v>0</v>
      </c>
      <c r="E65" s="581">
        <f t="shared" ca="1" si="4"/>
        <v>0</v>
      </c>
      <c r="F65" s="172">
        <f t="shared" ca="1" si="5"/>
        <v>0</v>
      </c>
      <c r="G65" s="9"/>
      <c r="H65" s="9"/>
      <c r="I65" s="9"/>
      <c r="J65" s="9"/>
      <c r="K65" s="9"/>
      <c r="L65" s="9"/>
    </row>
    <row r="66" spans="2:13" s="6" customFormat="1" ht="12" hidden="1" customHeight="1" x14ac:dyDescent="0.2">
      <c r="B66" s="984" t="s">
        <v>312</v>
      </c>
      <c r="C66" s="276"/>
      <c r="D66" s="276"/>
      <c r="E66" s="172">
        <f t="shared" ca="1" si="4"/>
        <v>0</v>
      </c>
      <c r="F66" s="172">
        <f t="shared" ca="1" si="5"/>
        <v>0</v>
      </c>
      <c r="G66" s="9"/>
      <c r="H66" s="9"/>
      <c r="I66" s="9"/>
      <c r="J66" s="9"/>
      <c r="K66" s="9"/>
      <c r="L66" s="9"/>
      <c r="M66" s="416" t="str">
        <f>CONCATENATE("Variable Ag Expenses - ",Year1)</f>
        <v>Variable Ag Expenses - 0</v>
      </c>
    </row>
    <row r="67" spans="2:13" s="6" customFormat="1" ht="12" hidden="1" customHeight="1" x14ac:dyDescent="0.2">
      <c r="B67" s="984" t="s">
        <v>313</v>
      </c>
      <c r="C67" s="276"/>
      <c r="D67" s="276"/>
      <c r="E67" s="172">
        <f t="shared" ca="1" si="4"/>
        <v>0</v>
      </c>
      <c r="F67" s="172">
        <f t="shared" ca="1" si="5"/>
        <v>0</v>
      </c>
      <c r="G67" s="9"/>
      <c r="H67" s="9"/>
      <c r="I67" s="9"/>
      <c r="J67" s="9"/>
      <c r="K67" s="9"/>
      <c r="L67" s="9"/>
      <c r="M67" s="416"/>
    </row>
    <row r="68" spans="2:13" ht="12" customHeight="1" x14ac:dyDescent="0.2">
      <c r="B68" s="983" t="s">
        <v>289</v>
      </c>
      <c r="C68" s="276">
        <f>(ACFFCFarmInsTot)</f>
        <v>0</v>
      </c>
      <c r="D68" s="276">
        <f>(MCFFCFarmInsTot)</f>
        <v>0</v>
      </c>
      <c r="E68" s="581">
        <f ca="1">OFFSET(C68,0,0,1,1)</f>
        <v>0</v>
      </c>
      <c r="F68" s="171">
        <f t="shared" ca="1" si="5"/>
        <v>0</v>
      </c>
      <c r="G68" s="7"/>
      <c r="H68" s="7"/>
      <c r="I68" s="7"/>
      <c r="J68" s="7"/>
      <c r="K68" s="7"/>
      <c r="L68" s="7"/>
    </row>
    <row r="69" spans="2:13" ht="12" customHeight="1" x14ac:dyDescent="0.2">
      <c r="B69" s="983" t="s">
        <v>721</v>
      </c>
      <c r="C69" s="276">
        <f>ACFFCCarTruckTot</f>
        <v>0</v>
      </c>
      <c r="D69" s="276">
        <f>MCFFCCarTruckTot</f>
        <v>0</v>
      </c>
      <c r="E69" s="581">
        <f t="shared" ref="E69:E70" ca="1" si="6">OFFSET(C69,0,0,1,1)</f>
        <v>0</v>
      </c>
      <c r="F69" s="171">
        <f t="shared" ca="1" si="5"/>
        <v>0</v>
      </c>
      <c r="G69" s="7"/>
      <c r="H69" s="7"/>
      <c r="I69" s="7"/>
      <c r="J69" s="7"/>
      <c r="K69" s="7"/>
      <c r="L69" s="7"/>
    </row>
    <row r="70" spans="2:13" ht="12" customHeight="1" x14ac:dyDescent="0.2">
      <c r="B70" s="983" t="s">
        <v>717</v>
      </c>
      <c r="C70" s="276">
        <f>ACFFCConservationTot</f>
        <v>0</v>
      </c>
      <c r="D70" s="276">
        <f>MCFFCConservationTot</f>
        <v>0</v>
      </c>
      <c r="E70" s="581">
        <f t="shared" ca="1" si="6"/>
        <v>0</v>
      </c>
      <c r="F70" s="171">
        <f t="shared" ca="1" si="5"/>
        <v>0</v>
      </c>
      <c r="G70" s="7"/>
      <c r="H70" s="7"/>
      <c r="I70" s="7"/>
      <c r="J70" s="7"/>
      <c r="K70" s="7"/>
      <c r="L70" s="7"/>
    </row>
    <row r="71" spans="2:13" ht="12" customHeight="1" x14ac:dyDescent="0.2">
      <c r="B71" s="985" t="s">
        <v>288</v>
      </c>
      <c r="C71" s="276">
        <f>(ACFFCProfTot)</f>
        <v>0</v>
      </c>
      <c r="D71" s="276">
        <f>(MCFFCProfTot)</f>
        <v>0</v>
      </c>
      <c r="E71" s="581">
        <f t="shared" ca="1" si="4"/>
        <v>0</v>
      </c>
      <c r="F71" s="171">
        <f t="shared" ca="1" si="5"/>
        <v>0</v>
      </c>
      <c r="G71" s="7"/>
      <c r="H71" s="7"/>
      <c r="I71" s="7"/>
      <c r="J71" s="7"/>
      <c r="K71" s="7"/>
      <c r="L71" s="7"/>
    </row>
    <row r="72" spans="2:13" ht="12" customHeight="1" x14ac:dyDescent="0.2">
      <c r="B72" s="985" t="s">
        <v>65</v>
      </c>
      <c r="C72" s="276">
        <f>(ACFFCPropTaxTot)</f>
        <v>0</v>
      </c>
      <c r="D72" s="276">
        <f>(MCFFCPropTaxTot)</f>
        <v>0</v>
      </c>
      <c r="E72" s="581"/>
      <c r="F72" s="171"/>
      <c r="G72" s="7"/>
      <c r="H72" s="7"/>
      <c r="I72" s="7"/>
      <c r="J72" s="7"/>
      <c r="K72" s="7"/>
      <c r="L72" s="7"/>
    </row>
    <row r="73" spans="2:13" ht="12" customHeight="1" x14ac:dyDescent="0.2">
      <c r="B73" s="983" t="s">
        <v>776</v>
      </c>
      <c r="C73" s="276">
        <f>(ACFFCOthTot)</f>
        <v>0</v>
      </c>
      <c r="D73" s="276">
        <f>(MCFFCOthTot)</f>
        <v>0</v>
      </c>
      <c r="E73" s="581">
        <f t="shared" ca="1" si="4"/>
        <v>0</v>
      </c>
      <c r="F73" s="171">
        <f t="shared" ca="1" si="5"/>
        <v>0</v>
      </c>
      <c r="G73" s="7"/>
      <c r="H73" s="7"/>
      <c r="I73" s="7"/>
      <c r="J73" s="7"/>
      <c r="K73" s="7"/>
      <c r="L73" s="7"/>
    </row>
    <row r="74" spans="2:13" ht="12" customHeight="1" x14ac:dyDescent="0.2">
      <c r="B74" s="977" t="s">
        <v>773</v>
      </c>
      <c r="C74" s="276">
        <f>-'Schedule F Cash to Accrual'!H31-'Schedule F Cash to Accrual'!H32-'Schedule F Cash to Accrual'!H34-'Schedule F Cash to Accrual'!H35</f>
        <v>0</v>
      </c>
      <c r="D74" s="276">
        <f>(MCFFCOthTot)</f>
        <v>0</v>
      </c>
      <c r="E74" s="581">
        <f t="shared" ca="1" si="4"/>
        <v>0</v>
      </c>
      <c r="F74" s="171">
        <f t="shared" ca="1" si="5"/>
        <v>0</v>
      </c>
      <c r="G74" s="7"/>
      <c r="H74" s="7"/>
      <c r="I74" s="7"/>
      <c r="J74" s="7"/>
      <c r="K74" s="7"/>
      <c r="L74" s="7"/>
    </row>
    <row r="75" spans="2:13" x14ac:dyDescent="0.2">
      <c r="B75" s="182" t="s">
        <v>698</v>
      </c>
      <c r="C75" s="272">
        <f>SUM(C63:C74)</f>
        <v>0</v>
      </c>
      <c r="D75" s="272">
        <f>SUM(D63:D74)</f>
        <v>0</v>
      </c>
      <c r="E75" s="171">
        <f t="shared" ca="1" si="4"/>
        <v>0</v>
      </c>
      <c r="F75" s="171">
        <f t="shared" ca="1" si="5"/>
        <v>0</v>
      </c>
      <c r="G75" s="7"/>
      <c r="H75" s="7"/>
      <c r="I75" s="7"/>
      <c r="J75" s="7"/>
      <c r="K75" s="7"/>
      <c r="L75" s="7"/>
    </row>
    <row r="76" spans="2:13" ht="1.5" customHeight="1" x14ac:dyDescent="0.2">
      <c r="B76" s="182"/>
      <c r="C76" s="277"/>
      <c r="D76" s="278"/>
      <c r="F76" s="7"/>
      <c r="G76" s="7"/>
      <c r="H76" s="7"/>
      <c r="I76" s="7"/>
      <c r="J76" s="7"/>
      <c r="K76" s="7"/>
      <c r="L76" s="7"/>
    </row>
    <row r="77" spans="2:13" x14ac:dyDescent="0.2">
      <c r="B77" s="182" t="s">
        <v>440</v>
      </c>
      <c r="C77" s="272">
        <f>C60+C75</f>
        <v>0</v>
      </c>
      <c r="D77" s="272">
        <f>D60+D75</f>
        <v>0</v>
      </c>
      <c r="F77" s="7"/>
      <c r="G77" s="7"/>
      <c r="H77" s="7"/>
      <c r="I77" s="7"/>
      <c r="J77" s="7"/>
      <c r="K77" s="7"/>
      <c r="L77" s="7"/>
    </row>
    <row r="78" spans="2:13" ht="1.5" customHeight="1" x14ac:dyDescent="0.2">
      <c r="B78" s="182"/>
      <c r="C78" s="145"/>
      <c r="D78" s="278"/>
      <c r="F78" s="7"/>
      <c r="G78" s="7"/>
      <c r="H78" s="7"/>
      <c r="I78" s="7"/>
      <c r="J78" s="7"/>
      <c r="K78" s="7"/>
      <c r="L78" s="7"/>
    </row>
    <row r="79" spans="2:13" s="11" customFormat="1" ht="15.95" customHeight="1" x14ac:dyDescent="0.25">
      <c r="B79" s="657" t="s">
        <v>771</v>
      </c>
      <c r="C79" s="658">
        <f>C30-C77</f>
        <v>0</v>
      </c>
      <c r="D79" s="658">
        <f>D30-D77</f>
        <v>0</v>
      </c>
      <c r="E79" s="170">
        <f ca="1">OFFSET(C79,0,0,1,1)</f>
        <v>0</v>
      </c>
      <c r="F79" s="170">
        <f ca="1">OFFSET(D79,0,0,1,1)</f>
        <v>0</v>
      </c>
      <c r="G79" s="12"/>
      <c r="H79" s="12"/>
      <c r="I79" s="12"/>
      <c r="J79" s="12"/>
      <c r="K79" s="12"/>
      <c r="L79" s="12"/>
    </row>
    <row r="80" spans="2:13" s="11" customFormat="1" ht="1.5" customHeight="1" x14ac:dyDescent="0.25">
      <c r="B80" s="64"/>
      <c r="C80" s="654"/>
      <c r="D80" s="655"/>
      <c r="E80" s="170"/>
      <c r="F80" s="170"/>
      <c r="G80" s="12"/>
      <c r="H80" s="12"/>
      <c r="I80" s="12"/>
      <c r="J80" s="12"/>
      <c r="K80" s="12"/>
      <c r="L80" s="12"/>
    </row>
    <row r="81" spans="1:13" ht="12" customHeight="1" thickBot="1" x14ac:dyDescent="0.25">
      <c r="F81" s="6"/>
    </row>
    <row r="82" spans="1:13" ht="12" customHeight="1" thickTop="1" x14ac:dyDescent="0.2">
      <c r="A82" t="s">
        <v>429</v>
      </c>
      <c r="B82" s="13"/>
      <c r="D82" s="199"/>
      <c r="E82" s="164"/>
      <c r="F82" s="162"/>
    </row>
    <row r="83" spans="1:13" ht="12" customHeight="1" x14ac:dyDescent="0.2">
      <c r="B83" s="1416" t="str">
        <f>B10</f>
        <v>Income Statement Trend</v>
      </c>
      <c r="C83" s="1417"/>
      <c r="D83" s="1418"/>
      <c r="M83" s="414" t="str">
        <f>CONCATENATE("Direct Marketing Expenses - ",ScorecardGraphsChoice)</f>
        <v>Direct Marketing Expenses - 1 Projected</v>
      </c>
    </row>
    <row r="84" spans="1:13" ht="12.75" customHeight="1" x14ac:dyDescent="0.2">
      <c r="B84" s="1419"/>
      <c r="C84" s="1420"/>
      <c r="D84" s="1421"/>
    </row>
    <row r="85" spans="1:13" ht="18.75" customHeight="1" x14ac:dyDescent="0.2">
      <c r="B85" s="1419"/>
      <c r="C85" s="1420"/>
      <c r="D85" s="1421"/>
    </row>
    <row r="86" spans="1:13" ht="6.95" customHeight="1" x14ac:dyDescent="0.2">
      <c r="B86" s="190"/>
      <c r="C86" s="156"/>
      <c r="D86" s="65"/>
    </row>
    <row r="87" spans="1:13" ht="14.25" x14ac:dyDescent="0.2">
      <c r="B87" s="1422" t="str">
        <f>B139</f>
        <v/>
      </c>
      <c r="C87" s="1423"/>
      <c r="D87" s="1424"/>
    </row>
    <row r="88" spans="1:13" ht="15" x14ac:dyDescent="0.2">
      <c r="A88" t="s">
        <v>430</v>
      </c>
      <c r="B88" s="1413" t="s">
        <v>436</v>
      </c>
      <c r="C88" s="1414"/>
      <c r="D88" s="1415"/>
      <c r="E88" s="163"/>
      <c r="F88" s="146"/>
    </row>
    <row r="89" spans="1:13" x14ac:dyDescent="0.2">
      <c r="A89" t="s">
        <v>430</v>
      </c>
      <c r="B89" s="71" t="s">
        <v>69</v>
      </c>
      <c r="C89" s="273">
        <f>Year1</f>
        <v>0</v>
      </c>
      <c r="D89" s="274" t="str">
        <f>Year2</f>
        <v>1 Projected</v>
      </c>
      <c r="E89" s="163"/>
      <c r="F89" s="146"/>
    </row>
    <row r="90" spans="1:13" x14ac:dyDescent="0.2">
      <c r="A90" t="s">
        <v>430</v>
      </c>
      <c r="B90" s="176" t="s">
        <v>265</v>
      </c>
      <c r="C90" s="201">
        <f>IF(HowSell="Direct to Processor",0,ACFDMSalesFarmMktTot)</f>
        <v>0</v>
      </c>
      <c r="D90" s="275">
        <f>IF(HowSell="Direct to Processor",0,MCFDMSalesFarmMktTot)</f>
        <v>0</v>
      </c>
      <c r="E90" s="582"/>
      <c r="F90" s="583"/>
    </row>
    <row r="91" spans="1:13" x14ac:dyDescent="0.2">
      <c r="A91" t="s">
        <v>430</v>
      </c>
      <c r="B91" s="176" t="s">
        <v>266</v>
      </c>
      <c r="C91" s="201">
        <f>IF(HowSell="Direct to Processor",0,ACFDMSalesCSATot)</f>
        <v>0</v>
      </c>
      <c r="D91" s="275">
        <f>IF(HowSell="Direct to Processor",0,MCFDMSalesCSATot)</f>
        <v>0</v>
      </c>
      <c r="E91" s="582"/>
      <c r="F91" s="583"/>
    </row>
    <row r="92" spans="1:13" x14ac:dyDescent="0.2">
      <c r="A92" t="s">
        <v>430</v>
      </c>
      <c r="B92" s="176" t="s">
        <v>267</v>
      </c>
      <c r="C92" s="201">
        <f>IF(HowSell="Direct to Processor",0,ACFDMSalesFarmstandTot)</f>
        <v>0</v>
      </c>
      <c r="D92" s="275">
        <f>IF(HowSell="Direct to Processor",0,MCFDMSalesFarmstandTot)</f>
        <v>0</v>
      </c>
      <c r="E92" s="582"/>
      <c r="F92" s="583"/>
    </row>
    <row r="93" spans="1:13" x14ac:dyDescent="0.2">
      <c r="A93" t="s">
        <v>430</v>
      </c>
      <c r="B93" s="176" t="s">
        <v>268</v>
      </c>
      <c r="C93" s="201">
        <f>IF(HowSell="Direct to Processor",0,ACFDMSalesOtherTot)</f>
        <v>0</v>
      </c>
      <c r="D93" s="275">
        <f>IF(HowSell="Direct to Processor",0,MCFDMSalesOtherTot)</f>
        <v>0</v>
      </c>
      <c r="E93" s="582"/>
      <c r="F93" s="583"/>
    </row>
    <row r="94" spans="1:13" x14ac:dyDescent="0.2">
      <c r="A94" t="s">
        <v>430</v>
      </c>
      <c r="B94" s="176" t="s">
        <v>68</v>
      </c>
      <c r="C94" s="202">
        <f>IF(HowSell="Direct to Processor",0,ACFDMEtcTot)</f>
        <v>0</v>
      </c>
      <c r="D94" s="276">
        <f>IF(HowSell="Direct to Processor",0,MCFDMEtcTot)</f>
        <v>0</v>
      </c>
      <c r="E94" s="582"/>
      <c r="F94" s="583"/>
    </row>
    <row r="95" spans="1:13" x14ac:dyDescent="0.2">
      <c r="A95" t="s">
        <v>430</v>
      </c>
      <c r="B95" s="183" t="s">
        <v>390</v>
      </c>
      <c r="C95" s="202">
        <f>IF(HowSell="Direct to Processor",0,ACFDMINVChangeTot)</f>
        <v>0</v>
      </c>
      <c r="D95" s="276">
        <f>IF(HowSell="Direct to Processor",0,MCFDMINVChangeTot)</f>
        <v>0</v>
      </c>
      <c r="E95" s="582"/>
      <c r="F95" s="583"/>
    </row>
    <row r="96" spans="1:13" x14ac:dyDescent="0.2">
      <c r="A96" t="s">
        <v>430</v>
      </c>
      <c r="B96" s="176" t="s">
        <v>322</v>
      </c>
      <c r="C96" s="202">
        <f>IF(HowSell="Direct to Processor",0,ACFDMEquipGainTot)</f>
        <v>0</v>
      </c>
      <c r="D96" s="276">
        <f>IF(HowSell="Direct to Processor",0,MCFDMEquipGainTot)</f>
        <v>0</v>
      </c>
      <c r="E96" s="582"/>
      <c r="F96" s="583"/>
    </row>
    <row r="97" spans="1:13" x14ac:dyDescent="0.2">
      <c r="A97" t="s">
        <v>430</v>
      </c>
      <c r="B97" s="177" t="s">
        <v>0</v>
      </c>
      <c r="C97" s="202">
        <f>IF(HowSell="Direct to Processor",0,ACFDMOthTot)</f>
        <v>0</v>
      </c>
      <c r="D97" s="276">
        <f>IF(HowSell="Direct to Processor",0,MCFDMOthTot)</f>
        <v>0</v>
      </c>
      <c r="E97" s="582"/>
      <c r="F97" s="583"/>
    </row>
    <row r="98" spans="1:13" x14ac:dyDescent="0.2">
      <c r="A98" t="s">
        <v>430</v>
      </c>
      <c r="B98" s="178" t="s">
        <v>119</v>
      </c>
      <c r="C98" s="271">
        <f>SUM(C90:C94)-C95+SUM(C96:C97)</f>
        <v>0</v>
      </c>
      <c r="D98" s="272">
        <f>SUM(D90:D94)-D95+SUM(D96:D97)</f>
        <v>0</v>
      </c>
      <c r="E98" s="171" t="str">
        <f ca="1">IF(HowSell="Direct to Processor","",OFFSET(C98,0,0,1,1))</f>
        <v/>
      </c>
      <c r="F98" s="583" t="str">
        <f ca="1">IF(HowSell="Direct to Processor","",OFFSET(D98,0,0,1,1))</f>
        <v/>
      </c>
    </row>
    <row r="99" spans="1:13" ht="6.95" customHeight="1" x14ac:dyDescent="0.2">
      <c r="A99" t="s">
        <v>430</v>
      </c>
      <c r="B99" s="66"/>
      <c r="C99" s="62"/>
      <c r="D99" s="65"/>
      <c r="E99" s="163"/>
      <c r="F99" s="146"/>
    </row>
    <row r="100" spans="1:13" x14ac:dyDescent="0.2">
      <c r="A100" t="s">
        <v>430</v>
      </c>
      <c r="B100" s="71" t="s">
        <v>701</v>
      </c>
      <c r="C100" s="62"/>
      <c r="D100" s="65"/>
      <c r="E100" s="163"/>
      <c r="F100" s="146"/>
      <c r="M100" s="578"/>
    </row>
    <row r="101" spans="1:13" x14ac:dyDescent="0.2">
      <c r="A101" t="s">
        <v>430</v>
      </c>
      <c r="B101" s="176" t="s">
        <v>54</v>
      </c>
      <c r="C101" s="204">
        <f>IF(HowSell="Direct to Processor",0,ACFDMVCLaborTot)</f>
        <v>0</v>
      </c>
      <c r="D101" s="268">
        <f>IF(HowSell="Direct to Processor",0,MCFDMVCLaborTot)</f>
        <v>0</v>
      </c>
      <c r="E101" s="171" t="e">
        <f t="shared" ref="E101:E110" ca="1" si="7">IF(HowSell="Direct to Processor",NA(),IF(ScorecardGraphNumber=1,OFFSET(C101,0,0,1,1),OFFSET(D101,0,0,1,1)))</f>
        <v>#N/A</v>
      </c>
      <c r="F101" s="583"/>
      <c r="M101" s="171" t="str">
        <f t="shared" ref="M101:M110" ca="1" si="8">IF(HowSell="Direct to Processor","",OFFSET(B101,0,0,1,1))</f>
        <v/>
      </c>
    </row>
    <row r="102" spans="1:13" x14ac:dyDescent="0.2">
      <c r="A102" t="s">
        <v>430</v>
      </c>
      <c r="B102" s="176" t="s">
        <v>47</v>
      </c>
      <c r="C102" s="204">
        <f>IF(HowSell="Direct to Processor",0,ACFDMVCInsTot)</f>
        <v>0</v>
      </c>
      <c r="D102" s="268">
        <f>IF(HowSell="Direct to Processor",0,MCFDMVCInsTot)</f>
        <v>0</v>
      </c>
      <c r="E102" s="171" t="e">
        <f t="shared" ca="1" si="7"/>
        <v>#N/A</v>
      </c>
      <c r="F102" s="583"/>
      <c r="M102" s="171" t="str">
        <f t="shared" ca="1" si="8"/>
        <v/>
      </c>
    </row>
    <row r="103" spans="1:13" x14ac:dyDescent="0.2">
      <c r="A103" t="s">
        <v>430</v>
      </c>
      <c r="B103" s="176" t="s">
        <v>55</v>
      </c>
      <c r="C103" s="204">
        <f>IF(HowSell="Direct to Processor",0,ACFDMVCPackTot)</f>
        <v>0</v>
      </c>
      <c r="D103" s="268">
        <f>IF(HowSell="Direct to Processor",0,MCFDMVCPackTot)</f>
        <v>0</v>
      </c>
      <c r="E103" s="171" t="e">
        <f t="shared" ca="1" si="7"/>
        <v>#N/A</v>
      </c>
      <c r="F103" s="583"/>
      <c r="M103" s="171" t="str">
        <f t="shared" ca="1" si="8"/>
        <v/>
      </c>
    </row>
    <row r="104" spans="1:13" x14ac:dyDescent="0.2">
      <c r="A104" t="s">
        <v>430</v>
      </c>
      <c r="B104" s="176" t="s">
        <v>67</v>
      </c>
      <c r="C104" s="204">
        <f>IF(HowSell="Direct to Processor",0,ACFDMVCSuppliesTot)</f>
        <v>0</v>
      </c>
      <c r="D104" s="268">
        <f>IF(HowSell="Direct to Processor",0,MCFDMVCSuppliesTot)</f>
        <v>0</v>
      </c>
      <c r="E104" s="171" t="e">
        <f t="shared" ca="1" si="7"/>
        <v>#N/A</v>
      </c>
      <c r="F104" s="583"/>
      <c r="M104" s="171" t="str">
        <f t="shared" ca="1" si="8"/>
        <v/>
      </c>
    </row>
    <row r="105" spans="1:13" x14ac:dyDescent="0.2">
      <c r="A105" t="s">
        <v>430</v>
      </c>
      <c r="B105" s="176" t="s">
        <v>272</v>
      </c>
      <c r="C105" s="204">
        <f>IF(HowSell="Direct to Processor",0,ACFDMVCMktSuppTot)</f>
        <v>0</v>
      </c>
      <c r="D105" s="268">
        <f>IF(HowSell="Direct to Processor",0,MCFDMVCMktSuppTot)</f>
        <v>0</v>
      </c>
      <c r="E105" s="171" t="e">
        <f t="shared" ca="1" si="7"/>
        <v>#N/A</v>
      </c>
      <c r="F105" s="583"/>
      <c r="M105" s="171" t="str">
        <f ca="1">IF(HowSell="Direct to Processor","",OFFSET(B105,0,0,1,1))</f>
        <v/>
      </c>
    </row>
    <row r="106" spans="1:13" x14ac:dyDescent="0.2">
      <c r="A106" t="s">
        <v>430</v>
      </c>
      <c r="B106" s="176" t="s">
        <v>56</v>
      </c>
      <c r="C106" s="204">
        <f>IF(HowSell="Direct to Processor",0,ACFDMVCShippingTot)</f>
        <v>0</v>
      </c>
      <c r="D106" s="268">
        <f>IF(HowSell="Direct to Processor",0,MCFDMVCShippingTot)</f>
        <v>0</v>
      </c>
      <c r="E106" s="171" t="e">
        <f t="shared" ca="1" si="7"/>
        <v>#N/A</v>
      </c>
      <c r="F106" s="583"/>
      <c r="M106" s="171" t="str">
        <f t="shared" ca="1" si="8"/>
        <v/>
      </c>
    </row>
    <row r="107" spans="1:13" x14ac:dyDescent="0.2">
      <c r="A107" t="s">
        <v>430</v>
      </c>
      <c r="B107" s="176" t="s">
        <v>46</v>
      </c>
      <c r="C107" s="204">
        <f>IF(HowSell="Direct to Processor",0,ACFDMVCUtilTot)</f>
        <v>0</v>
      </c>
      <c r="D107" s="268">
        <f>IF(HowSell="Direct to Processor",0,MCFDMVCUtilTot)</f>
        <v>0</v>
      </c>
      <c r="E107" s="171" t="e">
        <f t="shared" ca="1" si="7"/>
        <v>#N/A</v>
      </c>
      <c r="F107" s="583"/>
      <c r="M107" s="171" t="str">
        <f t="shared" ca="1" si="8"/>
        <v/>
      </c>
    </row>
    <row r="108" spans="1:13" x14ac:dyDescent="0.2">
      <c r="A108" t="s">
        <v>430</v>
      </c>
      <c r="B108" s="176" t="s">
        <v>66</v>
      </c>
      <c r="C108" s="204">
        <f>IF(HowSell="Direct to Processor",0,ACFDMVCColdTot)</f>
        <v>0</v>
      </c>
      <c r="D108" s="268">
        <f>IF(HowSell="Direct to Processor",0,MCFDMVCColdTot)</f>
        <v>0</v>
      </c>
      <c r="E108" s="171" t="e">
        <f t="shared" ca="1" si="7"/>
        <v>#N/A</v>
      </c>
      <c r="F108" s="583"/>
      <c r="M108" s="171" t="str">
        <f t="shared" ca="1" si="8"/>
        <v/>
      </c>
    </row>
    <row r="109" spans="1:13" x14ac:dyDescent="0.2">
      <c r="A109" t="s">
        <v>430</v>
      </c>
      <c r="B109" s="176" t="s">
        <v>271</v>
      </c>
      <c r="C109" s="204">
        <f>IF(HowSell="Direct to Processor",0,ACFDMVCResaleTot)</f>
        <v>0</v>
      </c>
      <c r="D109" s="268">
        <f>IF(HowSell="Direct to Processor",0,MCFDMVCResaleTot)</f>
        <v>0</v>
      </c>
      <c r="E109" s="171" t="e">
        <f t="shared" ca="1" si="7"/>
        <v>#N/A</v>
      </c>
      <c r="F109" s="583"/>
      <c r="M109" s="171" t="str">
        <f t="shared" ca="1" si="8"/>
        <v/>
      </c>
    </row>
    <row r="110" spans="1:13" x14ac:dyDescent="0.2">
      <c r="A110" t="s">
        <v>430</v>
      </c>
      <c r="B110" s="176" t="s">
        <v>702</v>
      </c>
      <c r="C110" s="204">
        <f>IF(HowSell="Direct to Processor",0,ACFDMVCOthTot)</f>
        <v>0</v>
      </c>
      <c r="D110" s="268">
        <f>IF(HowSell="Direct to Processor",0,MCFDMVCOthTot)</f>
        <v>0</v>
      </c>
      <c r="E110" s="171" t="e">
        <f t="shared" ca="1" si="7"/>
        <v>#N/A</v>
      </c>
      <c r="F110" s="583"/>
      <c r="M110" s="171" t="str">
        <f t="shared" ca="1" si="8"/>
        <v/>
      </c>
    </row>
    <row r="111" spans="1:13" x14ac:dyDescent="0.2">
      <c r="A111" t="s">
        <v>430</v>
      </c>
      <c r="B111" s="178" t="s">
        <v>704</v>
      </c>
      <c r="C111" s="269">
        <f>SUM(C101:C110)</f>
        <v>0</v>
      </c>
      <c r="D111" s="270">
        <f>SUM(D101:D110)</f>
        <v>0</v>
      </c>
      <c r="E111" s="171" t="str">
        <f ca="1">IF(HowSell="Direct to Processor","",OFFSET(C111,0,0,1,1))</f>
        <v/>
      </c>
      <c r="F111" s="583" t="str">
        <f ca="1">IF(HowSell="Direct to Processor","",OFFSET(D111,0,0,1,1))</f>
        <v/>
      </c>
      <c r="M111" s="683"/>
    </row>
    <row r="112" spans="1:13" ht="6.95" customHeight="1" x14ac:dyDescent="0.2">
      <c r="A112" t="s">
        <v>430</v>
      </c>
      <c r="B112" s="179"/>
      <c r="C112" s="62"/>
      <c r="D112" s="180"/>
      <c r="E112" s="582"/>
      <c r="F112" s="583"/>
      <c r="M112" s="683"/>
    </row>
    <row r="113" spans="1:13" x14ac:dyDescent="0.2">
      <c r="A113" t="s">
        <v>430</v>
      </c>
      <c r="B113" s="71" t="s">
        <v>703</v>
      </c>
      <c r="C113" s="62"/>
      <c r="D113" s="180"/>
      <c r="E113" s="582"/>
      <c r="F113" s="583"/>
      <c r="M113" s="578"/>
    </row>
    <row r="114" spans="1:13" x14ac:dyDescent="0.2">
      <c r="A114" t="s">
        <v>430</v>
      </c>
      <c r="B114" s="176" t="s">
        <v>274</v>
      </c>
      <c r="C114" s="204">
        <f>IF(HowSell="Direct to Processor",0,ACFDMFCRentTot)</f>
        <v>0</v>
      </c>
      <c r="D114" s="268">
        <f>IF(HowSell="Direct to Processor",0,MCFDMFCRentTot)</f>
        <v>0</v>
      </c>
      <c r="E114" s="582"/>
      <c r="F114" s="583"/>
      <c r="M114" s="578"/>
    </row>
    <row r="115" spans="1:13" x14ac:dyDescent="0.2">
      <c r="A115" t="s">
        <v>430</v>
      </c>
      <c r="B115" s="176" t="s">
        <v>57</v>
      </c>
      <c r="C115" s="204">
        <f>IF(HowSell="Direct to Processor",0,ACFDMFCPromoTot)</f>
        <v>0</v>
      </c>
      <c r="D115" s="268">
        <f>IF(HowSell="Direct to Processor",0,MCFDMFCPromoTot)</f>
        <v>0</v>
      </c>
      <c r="E115" s="582"/>
      <c r="F115" s="583"/>
      <c r="M115" s="578"/>
    </row>
    <row r="116" spans="1:13" x14ac:dyDescent="0.2">
      <c r="A116" s="490" t="s">
        <v>430</v>
      </c>
      <c r="B116" s="176" t="s">
        <v>58</v>
      </c>
      <c r="C116" s="204">
        <f>IF(HowSell="Direct to Processor",0,ACFDMFCPermitTot)</f>
        <v>0</v>
      </c>
      <c r="D116" s="268">
        <f>IF(HowSell="Direct to Processor",0,MCFDMFCPermitTot)</f>
        <v>0</v>
      </c>
      <c r="E116" s="582"/>
      <c r="F116" s="583"/>
      <c r="M116" s="578"/>
    </row>
    <row r="117" spans="1:13" x14ac:dyDescent="0.2">
      <c r="A117" s="490" t="s">
        <v>430</v>
      </c>
      <c r="B117" s="176" t="s">
        <v>59</v>
      </c>
      <c r="C117" s="204">
        <f>IF(HowSell="Direct to Processor",0,ACFDMFCVehTot)</f>
        <v>0</v>
      </c>
      <c r="D117" s="268">
        <f>IF(HowSell="Direct to Processor",0,MCFDMFCVehTot)</f>
        <v>0</v>
      </c>
      <c r="E117" s="582"/>
      <c r="F117" s="583"/>
      <c r="M117" s="578"/>
    </row>
    <row r="118" spans="1:13" x14ac:dyDescent="0.2">
      <c r="A118" s="490" t="s">
        <v>430</v>
      </c>
      <c r="B118" s="176" t="s">
        <v>321</v>
      </c>
      <c r="C118" s="204">
        <f>IF(HowSell="Direct to Processor",0,ACFDMFCDeprTot)</f>
        <v>0</v>
      </c>
      <c r="D118" s="268">
        <f>IF(HowSell="Direct to Processor",0,MCFDMFCDeprTot)</f>
        <v>0</v>
      </c>
      <c r="E118" s="582"/>
      <c r="F118" s="583"/>
      <c r="M118" s="578"/>
    </row>
    <row r="119" spans="1:13" x14ac:dyDescent="0.2">
      <c r="A119" t="s">
        <v>430</v>
      </c>
      <c r="B119" s="176" t="s">
        <v>72</v>
      </c>
      <c r="C119" s="204">
        <f>IF(HowSell="Direct to Processor",0,ACFDMFCIntTot)</f>
        <v>0</v>
      </c>
      <c r="D119" s="268">
        <f>IF(HowSell="Direct to Processor",0,MCFDMFCIntTot)</f>
        <v>0</v>
      </c>
      <c r="E119" s="582"/>
      <c r="F119" s="583"/>
      <c r="M119" s="578"/>
    </row>
    <row r="120" spans="1:13" x14ac:dyDescent="0.2">
      <c r="A120" s="490" t="s">
        <v>430</v>
      </c>
      <c r="B120" s="176" t="s">
        <v>692</v>
      </c>
      <c r="C120" s="204">
        <f>IF(HowSell="Direct to Processor",0,ACFDMFCMiscTot)</f>
        <v>0</v>
      </c>
      <c r="D120" s="268">
        <f>IF(HowSell="Direct to Processor",0,MCFDMFCMiscTot)</f>
        <v>0</v>
      </c>
      <c r="E120" s="582"/>
      <c r="F120" s="583"/>
    </row>
    <row r="121" spans="1:13" x14ac:dyDescent="0.2">
      <c r="A121" s="490" t="s">
        <v>430</v>
      </c>
      <c r="B121" s="176" t="s">
        <v>693</v>
      </c>
      <c r="C121" s="204">
        <f>IF(HowSell="Direct to Processor",0,ACFDMFCOthTot)</f>
        <v>0</v>
      </c>
      <c r="D121" s="268">
        <f>IF(HowSell="Direct to Processor",0,MCFDMFCOthTot)</f>
        <v>0</v>
      </c>
      <c r="E121" s="582"/>
      <c r="F121" s="583"/>
    </row>
    <row r="122" spans="1:13" x14ac:dyDescent="0.2">
      <c r="A122" s="490" t="s">
        <v>430</v>
      </c>
      <c r="B122" s="178" t="s">
        <v>705</v>
      </c>
      <c r="C122" s="269">
        <f>SUM(C114:C121)</f>
        <v>0</v>
      </c>
      <c r="D122" s="270">
        <f>SUM(D114:D121)</f>
        <v>0</v>
      </c>
      <c r="E122" s="414" t="str">
        <f ca="1">IF(HowSell="Direct to Processor","",OFFSET(C122,0,0,1,1))</f>
        <v/>
      </c>
      <c r="F122" s="146" t="str">
        <f ca="1">IF(HowSell="Direct to Processor","",OFFSET(D122,0,0,1,1))</f>
        <v/>
      </c>
    </row>
    <row r="123" spans="1:13" ht="6.95" customHeight="1" x14ac:dyDescent="0.2">
      <c r="A123" s="490" t="s">
        <v>430</v>
      </c>
      <c r="B123" s="178"/>
      <c r="C123" s="145"/>
      <c r="D123" s="181"/>
      <c r="E123" s="163"/>
      <c r="F123" s="146"/>
    </row>
    <row r="124" spans="1:13" x14ac:dyDescent="0.2">
      <c r="A124" s="490" t="s">
        <v>430</v>
      </c>
      <c r="B124" s="182" t="s">
        <v>439</v>
      </c>
      <c r="C124" s="204">
        <f>C111+C122</f>
        <v>0</v>
      </c>
      <c r="D124" s="268">
        <f>D111+D122</f>
        <v>0</v>
      </c>
      <c r="E124" s="163"/>
      <c r="F124" s="146"/>
    </row>
    <row r="125" spans="1:13" ht="6.95" customHeight="1" x14ac:dyDescent="0.2">
      <c r="A125" s="490" t="s">
        <v>430</v>
      </c>
      <c r="B125" s="66"/>
      <c r="C125" s="145"/>
      <c r="D125" s="181"/>
      <c r="E125" s="163"/>
      <c r="F125" s="146"/>
    </row>
    <row r="126" spans="1:13" ht="16.5" thickBot="1" x14ac:dyDescent="0.3">
      <c r="A126" s="490" t="s">
        <v>430</v>
      </c>
      <c r="B126" s="491" t="s">
        <v>120</v>
      </c>
      <c r="C126" s="266">
        <f>C98-C111-C122</f>
        <v>0</v>
      </c>
      <c r="D126" s="267">
        <f>D98-D111-D122</f>
        <v>0</v>
      </c>
      <c r="E126" s="171" t="str">
        <f ca="1">IF(HowSell="Direct to Processor","",OFFSET(C126,0,0,1,1))</f>
        <v/>
      </c>
      <c r="F126" s="171" t="str">
        <f ca="1">IF(HowSell="Direct to Processor","",OFFSET(D126,0,0,1,1))</f>
        <v/>
      </c>
    </row>
    <row r="127" spans="1:13" ht="12" customHeight="1" thickTop="1" x14ac:dyDescent="0.2">
      <c r="A127" s="490" t="s">
        <v>430</v>
      </c>
      <c r="E127" s="171" t="str">
        <f>IF(HowSell="Direct to Processor","","Direct Marketing Net Income")</f>
        <v/>
      </c>
      <c r="F127" s="172"/>
    </row>
    <row r="128" spans="1:13" x14ac:dyDescent="0.2">
      <c r="A128" s="490" t="s">
        <v>430</v>
      </c>
      <c r="F128" s="146"/>
    </row>
    <row r="129" spans="1:6" x14ac:dyDescent="0.2">
      <c r="A129" t="s">
        <v>430</v>
      </c>
      <c r="F129" s="146"/>
    </row>
    <row r="130" spans="1:6" x14ac:dyDescent="0.2">
      <c r="A130" s="490" t="s">
        <v>430</v>
      </c>
      <c r="F130" s="146"/>
    </row>
    <row r="131" spans="1:6" x14ac:dyDescent="0.2">
      <c r="A131" s="490" t="s">
        <v>430</v>
      </c>
      <c r="F131" s="146"/>
    </row>
    <row r="132" spans="1:6" x14ac:dyDescent="0.2">
      <c r="A132" t="s">
        <v>430</v>
      </c>
      <c r="F132" s="146"/>
    </row>
    <row r="133" spans="1:6" x14ac:dyDescent="0.2">
      <c r="A133"/>
      <c r="F133" s="146"/>
    </row>
    <row r="134" spans="1:6" x14ac:dyDescent="0.2">
      <c r="A134"/>
      <c r="F134" s="146"/>
    </row>
    <row r="135" spans="1:6" x14ac:dyDescent="0.2">
      <c r="A135"/>
      <c r="F135" s="146"/>
    </row>
    <row r="136" spans="1:6" x14ac:dyDescent="0.2">
      <c r="A136"/>
      <c r="F136" s="146"/>
    </row>
    <row r="137" spans="1:6" x14ac:dyDescent="0.2">
      <c r="A137"/>
      <c r="B137" s="1431"/>
      <c r="C137" s="1432"/>
      <c r="D137" s="1433"/>
      <c r="E137" s="6"/>
      <c r="F137" s="146"/>
    </row>
    <row r="138" spans="1:6" ht="14.25" x14ac:dyDescent="0.2">
      <c r="A138"/>
      <c r="B138" s="1428" t="s">
        <v>481</v>
      </c>
      <c r="C138" s="1429"/>
      <c r="D138" s="1430"/>
      <c r="E138" s="6"/>
      <c r="F138" s="146"/>
    </row>
    <row r="139" spans="1:6" ht="14.25" x14ac:dyDescent="0.2">
      <c r="A139"/>
      <c r="B139" s="1425" t="str">
        <f>IF(Name&gt;"",Name,IF(BusName&gt;"",BusName,""))</f>
        <v/>
      </c>
      <c r="C139" s="1426"/>
      <c r="D139" s="1427"/>
      <c r="E139" s="6"/>
      <c r="F139" s="146"/>
    </row>
    <row r="140" spans="1:6" x14ac:dyDescent="0.2">
      <c r="A140"/>
      <c r="B140" s="66"/>
      <c r="C140" s="652">
        <f>Year1</f>
        <v>0</v>
      </c>
      <c r="D140" s="653" t="str">
        <f>Year2</f>
        <v>1 Projected</v>
      </c>
      <c r="E140" s="6"/>
      <c r="F140" s="146"/>
    </row>
    <row r="141" spans="1:6" x14ac:dyDescent="0.2">
      <c r="A141"/>
      <c r="B141" s="66"/>
      <c r="C141" s="145"/>
      <c r="D141" s="181"/>
      <c r="E141" s="6"/>
      <c r="F141" s="146"/>
    </row>
    <row r="142" spans="1:6" x14ac:dyDescent="0.2">
      <c r="A142"/>
      <c r="B142" s="176" t="s">
        <v>319</v>
      </c>
      <c r="C142" s="145">
        <f>Year1GCFI</f>
        <v>0</v>
      </c>
      <c r="D142" s="181">
        <f>Year2GCFIProj</f>
        <v>0</v>
      </c>
      <c r="E142" s="6"/>
      <c r="F142" s="146"/>
    </row>
    <row r="143" spans="1:6" x14ac:dyDescent="0.2">
      <c r="A143"/>
      <c r="B143" s="176" t="s">
        <v>699</v>
      </c>
      <c r="C143" s="145">
        <f>C60</f>
        <v>0</v>
      </c>
      <c r="D143" s="181">
        <f>D60</f>
        <v>0</v>
      </c>
      <c r="E143" s="6"/>
      <c r="F143" s="146"/>
    </row>
    <row r="144" spans="1:6" ht="13.5" thickBot="1" x14ac:dyDescent="0.25">
      <c r="A144"/>
      <c r="B144" s="650" t="s">
        <v>700</v>
      </c>
      <c r="C144" s="648">
        <f>C75</f>
        <v>0</v>
      </c>
      <c r="D144" s="649">
        <f>D75</f>
        <v>0</v>
      </c>
      <c r="E144" s="6"/>
      <c r="F144" s="146"/>
    </row>
    <row r="145" spans="1:6" ht="16.5" thickTop="1" x14ac:dyDescent="0.25">
      <c r="A145"/>
      <c r="B145" s="651" t="s">
        <v>480</v>
      </c>
      <c r="C145" s="654">
        <f>C142-C143-C144</f>
        <v>0</v>
      </c>
      <c r="D145" s="655">
        <f>D142-D143-D144</f>
        <v>0</v>
      </c>
      <c r="E145" s="6"/>
      <c r="F145" s="146"/>
    </row>
    <row r="146" spans="1:6" x14ac:dyDescent="0.2">
      <c r="A146"/>
      <c r="B146" s="980" t="s">
        <v>391</v>
      </c>
      <c r="C146" s="265">
        <f>(ACFINVChangeTot)</f>
        <v>0</v>
      </c>
      <c r="D146" s="265">
        <f>(MCFINVChangeTot)</f>
        <v>0</v>
      </c>
      <c r="F146" s="146"/>
    </row>
    <row r="147" spans="1:6" x14ac:dyDescent="0.2">
      <c r="A147"/>
      <c r="B147" s="980" t="s">
        <v>737</v>
      </c>
      <c r="C147" s="265">
        <f>schFHedging</f>
        <v>0</v>
      </c>
      <c r="D147" s="265">
        <v>0</v>
      </c>
      <c r="F147" s="146"/>
    </row>
    <row r="148" spans="1:6" x14ac:dyDescent="0.2">
      <c r="A148"/>
      <c r="B148" s="980" t="s">
        <v>314</v>
      </c>
      <c r="C148" s="265">
        <f>(ACFGainEquipTot+ACFGainBuildTot+ACFGainPurchLivestockTot)</f>
        <v>0</v>
      </c>
      <c r="D148" s="265">
        <f>(MCFGainEquipTot+MCFGainBuildTot+MCFGainPurchLivestockTot)</f>
        <v>0</v>
      </c>
      <c r="E148" s="173"/>
      <c r="F148" s="146"/>
    </row>
    <row r="149" spans="1:6" x14ac:dyDescent="0.2">
      <c r="A149"/>
      <c r="B149" s="980" t="s">
        <v>518</v>
      </c>
      <c r="C149" s="265">
        <f>C65+C66+C67</f>
        <v>0</v>
      </c>
      <c r="D149" s="265">
        <f>D65+D66+D67</f>
        <v>0</v>
      </c>
      <c r="E149" s="174"/>
      <c r="F149" s="146"/>
    </row>
    <row r="150" spans="1:6" x14ac:dyDescent="0.2">
      <c r="A150"/>
      <c r="B150" s="980" t="s">
        <v>411</v>
      </c>
      <c r="C150" s="268">
        <f>(ACFPrinTot+ACFPrinOpTot)</f>
        <v>0</v>
      </c>
      <c r="D150" s="268">
        <f>(MCFPrinTot+MCFPrinOpTot)</f>
        <v>0</v>
      </c>
      <c r="E150" s="174"/>
      <c r="F150" s="146"/>
    </row>
    <row r="151" spans="1:6" x14ac:dyDescent="0.2">
      <c r="A151"/>
      <c r="B151" s="980" t="s">
        <v>412</v>
      </c>
      <c r="C151" s="268">
        <f>(ACFNewCredTot)</f>
        <v>0</v>
      </c>
      <c r="D151" s="268">
        <f>(MCFNewCredTot)</f>
        <v>0</v>
      </c>
      <c r="E151" s="174"/>
      <c r="F151" s="146"/>
    </row>
    <row r="152" spans="1:6" x14ac:dyDescent="0.2">
      <c r="A152"/>
      <c r="B152" s="980" t="s">
        <v>413</v>
      </c>
      <c r="C152" s="268">
        <f>(ACFNewOpTot)</f>
        <v>0</v>
      </c>
      <c r="D152" s="268">
        <f>(MCFNewOpTot)</f>
        <v>0</v>
      </c>
      <c r="E152" s="174"/>
      <c r="F152" s="146"/>
    </row>
    <row r="153" spans="1:6" x14ac:dyDescent="0.2">
      <c r="A153"/>
      <c r="B153" s="980" t="s">
        <v>154</v>
      </c>
      <c r="C153" s="268">
        <f>(ACFCapPurchEquipTot+ACFCapPurchLivestockTot+ACFCapPurchBuildingsTot+ACFCapPurchLandTot+ACFCapPurchVehTot)</f>
        <v>0</v>
      </c>
      <c r="D153" s="268">
        <f>(MCFCapPurchEquipTot+MCFCapPurchLivestockTot+MCFCapPurchBuildingsTot+MCFCapPurchLandTot+MCFCapPurchVehTot)</f>
        <v>0</v>
      </c>
      <c r="E153" s="174"/>
      <c r="F153" s="146"/>
    </row>
    <row r="154" spans="1:6" x14ac:dyDescent="0.2">
      <c r="A154"/>
      <c r="B154" s="980" t="s">
        <v>720</v>
      </c>
      <c r="C154" s="268">
        <f>(ACFSalesEquipTot+ACFSalesBuildTot+ACFSalesLvskTot+ACFSalesLandTot+ACFSalesVehTot)</f>
        <v>0</v>
      </c>
      <c r="D154" s="268">
        <f>(MCFSalesEquipTot+MCFSalesBuildTot+MCFSalesLvskTot+MCFSalesLandTot+MCFSalesVehTot)</f>
        <v>0</v>
      </c>
      <c r="E154" s="174"/>
      <c r="F154" s="146"/>
    </row>
    <row r="155" spans="1:6" x14ac:dyDescent="0.2">
      <c r="A155"/>
      <c r="B155" s="980" t="s">
        <v>442</v>
      </c>
      <c r="C155" s="268"/>
      <c r="D155" s="268">
        <f>(MCFCullIncomeTot)</f>
        <v>0</v>
      </c>
      <c r="E155" s="174"/>
      <c r="F155" s="146"/>
    </row>
    <row r="156" spans="1:6" x14ac:dyDescent="0.2">
      <c r="A156"/>
      <c r="B156" s="183" t="s">
        <v>315</v>
      </c>
      <c r="C156" s="577"/>
      <c r="D156" s="268"/>
      <c r="E156" s="174"/>
      <c r="F156" s="146"/>
    </row>
    <row r="157" spans="1:6" x14ac:dyDescent="0.2">
      <c r="A157"/>
      <c r="B157" s="618"/>
      <c r="C157" s="204"/>
      <c r="D157" s="268"/>
      <c r="E157" s="6"/>
      <c r="F157" s="146"/>
    </row>
    <row r="158" spans="1:6" ht="15.95" customHeight="1" x14ac:dyDescent="0.25">
      <c r="A158"/>
      <c r="B158" s="184" t="s">
        <v>233</v>
      </c>
      <c r="C158" s="1123">
        <f>C79-C146-C148+C149-C150+C151+C152-C153+C154+C155+C156+C147</f>
        <v>0</v>
      </c>
      <c r="D158" s="1124">
        <f>D79-D146-D148+D149-D150+D151+D152-D153+D154+D155+D156</f>
        <v>0</v>
      </c>
      <c r="E158" s="52"/>
      <c r="F158" s="146"/>
    </row>
    <row r="159" spans="1:6" x14ac:dyDescent="0.2">
      <c r="A159"/>
      <c r="F159" s="146"/>
    </row>
    <row r="160" spans="1:6" x14ac:dyDescent="0.2">
      <c r="A160"/>
      <c r="B160" s="1431"/>
      <c r="C160" s="1432"/>
      <c r="D160" s="1433"/>
      <c r="F160" s="146"/>
    </row>
    <row r="161" spans="1:6" ht="14.25" x14ac:dyDescent="0.2">
      <c r="A161"/>
      <c r="B161" s="1428" t="s">
        <v>823</v>
      </c>
      <c r="C161" s="1429"/>
      <c r="D161" s="1430"/>
      <c r="F161" s="146"/>
    </row>
    <row r="162" spans="1:6" ht="14.25" x14ac:dyDescent="0.2">
      <c r="A162"/>
      <c r="B162" s="1425" t="str">
        <f>IF(Name&gt;"",Name,IF(BusName&gt;"",BusName,""))</f>
        <v/>
      </c>
      <c r="C162" s="1426"/>
      <c r="D162" s="1427"/>
      <c r="F162" s="146"/>
    </row>
    <row r="163" spans="1:6" x14ac:dyDescent="0.2">
      <c r="A163"/>
      <c r="B163" s="66"/>
      <c r="C163" s="652">
        <f>Year1</f>
        <v>0</v>
      </c>
      <c r="D163" s="653" t="str">
        <f>Year2</f>
        <v>1 Projected</v>
      </c>
      <c r="F163" s="146"/>
    </row>
    <row r="164" spans="1:6" x14ac:dyDescent="0.2">
      <c r="A164"/>
      <c r="B164" s="66"/>
      <c r="C164" s="145"/>
      <c r="D164" s="181"/>
      <c r="F164" s="146"/>
    </row>
    <row r="165" spans="1:6" x14ac:dyDescent="0.2">
      <c r="A165"/>
      <c r="B165" s="176" t="s">
        <v>119</v>
      </c>
      <c r="C165" s="145">
        <f>Year1GCIDM</f>
        <v>0</v>
      </c>
      <c r="D165" s="181">
        <f>Year1GCIDM</f>
        <v>0</v>
      </c>
      <c r="F165" s="146"/>
    </row>
    <row r="166" spans="1:6" x14ac:dyDescent="0.2">
      <c r="A166"/>
      <c r="B166" s="176" t="s">
        <v>820</v>
      </c>
      <c r="C166" s="145">
        <f>C111</f>
        <v>0</v>
      </c>
      <c r="D166" s="181">
        <f>D111</f>
        <v>0</v>
      </c>
      <c r="F166" s="146"/>
    </row>
    <row r="167" spans="1:6" ht="13.5" thickBot="1" x14ac:dyDescent="0.25">
      <c r="A167"/>
      <c r="B167" s="650" t="s">
        <v>821</v>
      </c>
      <c r="C167" s="648">
        <f>C122</f>
        <v>0</v>
      </c>
      <c r="D167" s="649">
        <f>D122</f>
        <v>0</v>
      </c>
      <c r="F167" s="146"/>
    </row>
    <row r="168" spans="1:6" ht="13.5" thickTop="1" x14ac:dyDescent="0.2">
      <c r="A168"/>
      <c r="B168" s="66" t="s">
        <v>822</v>
      </c>
      <c r="C168" s="145">
        <f>NetIncomeDMYear1</f>
        <v>0</v>
      </c>
      <c r="D168" s="181">
        <f>NetIncomeDMYear1</f>
        <v>0</v>
      </c>
      <c r="F168" s="146"/>
    </row>
    <row r="169" spans="1:6" x14ac:dyDescent="0.2">
      <c r="A169"/>
      <c r="B169" s="183" t="s">
        <v>404</v>
      </c>
      <c r="C169" s="264">
        <f>C95</f>
        <v>0</v>
      </c>
      <c r="D169" s="265">
        <f>ACFDMINVChangeInput</f>
        <v>0</v>
      </c>
      <c r="E169" s="163"/>
      <c r="F169" s="146"/>
    </row>
    <row r="170" spans="1:6" x14ac:dyDescent="0.2">
      <c r="A170"/>
      <c r="B170" s="183" t="s">
        <v>398</v>
      </c>
      <c r="C170" s="264">
        <f>C97</f>
        <v>0</v>
      </c>
      <c r="D170" s="265">
        <f>D97</f>
        <v>0</v>
      </c>
      <c r="E170" s="163"/>
      <c r="F170" s="146"/>
    </row>
    <row r="171" spans="1:6" x14ac:dyDescent="0.2">
      <c r="A171"/>
      <c r="B171" s="183" t="s">
        <v>399</v>
      </c>
      <c r="C171" s="264">
        <f>C118</f>
        <v>0</v>
      </c>
      <c r="D171" s="265">
        <f>D118</f>
        <v>0</v>
      </c>
      <c r="E171" s="163"/>
      <c r="F171" s="146"/>
    </row>
    <row r="172" spans="1:6" x14ac:dyDescent="0.2">
      <c r="A172"/>
      <c r="B172" s="183" t="s">
        <v>400</v>
      </c>
      <c r="C172" s="204">
        <f>IF(HowSell="Direct to Processor",0,ACFDMPrinTot)</f>
        <v>0</v>
      </c>
      <c r="D172" s="268">
        <f>IF(HowSell="Direct to Processor",0,MCFDMPrinTot)</f>
        <v>0</v>
      </c>
      <c r="E172" s="163"/>
      <c r="F172" s="146"/>
    </row>
    <row r="173" spans="1:6" x14ac:dyDescent="0.2">
      <c r="A173"/>
      <c r="B173" s="183" t="s">
        <v>401</v>
      </c>
      <c r="C173" s="204">
        <f>IF(HowSell="Direct to Processor",0,ACFDMNewCredTot)</f>
        <v>0</v>
      </c>
      <c r="D173" s="268">
        <f>IF(HowSell="Direct to Processor",0,MCFDMNewCredTot)</f>
        <v>0</v>
      </c>
      <c r="E173" s="163"/>
      <c r="F173" s="146"/>
    </row>
    <row r="174" spans="1:6" x14ac:dyDescent="0.2">
      <c r="A174"/>
      <c r="B174" s="183" t="s">
        <v>402</v>
      </c>
      <c r="C174" s="204">
        <f>IF(HowSell="Direct to Processor",0,ACFDMNewDMOpTot)</f>
        <v>0</v>
      </c>
      <c r="D174" s="268">
        <f>IF(HowSell="Direct to Processor",0,MCFDMNewDMOpTot)</f>
        <v>0</v>
      </c>
      <c r="E174" s="163"/>
      <c r="F174" s="146"/>
    </row>
    <row r="175" spans="1:6" x14ac:dyDescent="0.2">
      <c r="A175"/>
      <c r="B175" s="183" t="s">
        <v>403</v>
      </c>
      <c r="C175" s="204">
        <f>IF(HowSell="Direct to Processor",0,ACFDMCapPurchTot)</f>
        <v>0</v>
      </c>
      <c r="D175" s="268">
        <f>IF(HowSell="Direct to Processor",0,MCFDMCapPurchTot)</f>
        <v>0</v>
      </c>
      <c r="E175" s="163"/>
      <c r="F175" s="146"/>
    </row>
    <row r="176" spans="1:6" x14ac:dyDescent="0.2">
      <c r="A176"/>
      <c r="B176" s="183" t="s">
        <v>397</v>
      </c>
      <c r="C176" s="204">
        <f>IF(HowSell="Direct to Processor",0,ACFDMEquipSaleTot)</f>
        <v>0</v>
      </c>
      <c r="D176" s="268">
        <f>IF(HowSell="Direct to Processor",0,MCFDMEquipSaleTot)</f>
        <v>0</v>
      </c>
      <c r="E176" s="163"/>
      <c r="F176" s="146"/>
    </row>
    <row r="177" spans="1:12" ht="15.95" customHeight="1" x14ac:dyDescent="0.25">
      <c r="A177" t="s">
        <v>430</v>
      </c>
      <c r="B177" s="184" t="s">
        <v>121</v>
      </c>
      <c r="C177" s="1123">
        <f>C126+C169-C170+C171-C172+C176+C173-C175+C174</f>
        <v>0</v>
      </c>
      <c r="D177" s="1124">
        <f>D126+D169-D170+D171-D172+D176+D173-D175+D174</f>
        <v>0</v>
      </c>
      <c r="E177" s="163"/>
      <c r="F177" s="146"/>
    </row>
    <row r="178" spans="1:12" ht="12" customHeight="1" x14ac:dyDescent="0.2">
      <c r="A178" t="s">
        <v>430</v>
      </c>
      <c r="C178" s="62"/>
      <c r="D178" s="62"/>
      <c r="E178" s="163"/>
      <c r="F178" s="146"/>
    </row>
    <row r="179" spans="1:12" ht="12" customHeight="1" x14ac:dyDescent="0.25">
      <c r="B179" s="24"/>
      <c r="C179" s="63"/>
      <c r="E179" s="6"/>
    </row>
    <row r="180" spans="1:12" ht="16.5" customHeight="1" x14ac:dyDescent="0.2">
      <c r="B180" s="1416" t="s">
        <v>825</v>
      </c>
      <c r="C180" s="1417"/>
      <c r="D180" s="1418"/>
    </row>
    <row r="181" spans="1:12" ht="16.5" customHeight="1" x14ac:dyDescent="0.2">
      <c r="B181" s="1419"/>
      <c r="C181" s="1420"/>
      <c r="D181" s="1421"/>
    </row>
    <row r="182" spans="1:12" ht="18.75" customHeight="1" x14ac:dyDescent="0.2">
      <c r="B182" s="1419"/>
      <c r="C182" s="1420"/>
      <c r="D182" s="1421"/>
    </row>
    <row r="183" spans="1:12" ht="18.75" hidden="1" customHeight="1" x14ac:dyDescent="0.3">
      <c r="B183" s="185"/>
      <c r="C183" s="186" t="s">
        <v>52</v>
      </c>
      <c r="D183" s="187" t="s">
        <v>53</v>
      </c>
    </row>
    <row r="184" spans="1:12" ht="13.7" hidden="1" customHeight="1" x14ac:dyDescent="0.2">
      <c r="B184" s="188" t="s">
        <v>51</v>
      </c>
      <c r="C184" s="53">
        <v>2014</v>
      </c>
      <c r="D184" s="189">
        <v>2015</v>
      </c>
      <c r="G184" s="30"/>
    </row>
    <row r="185" spans="1:12" ht="6.95" customHeight="1" x14ac:dyDescent="0.2">
      <c r="B185" s="190"/>
      <c r="C185" s="156"/>
      <c r="D185" s="65"/>
    </row>
    <row r="186" spans="1:12" ht="14.25" x14ac:dyDescent="0.2">
      <c r="B186" s="1422" t="str">
        <f>B87</f>
        <v/>
      </c>
      <c r="C186" s="1423"/>
      <c r="D186" s="1424"/>
    </row>
    <row r="187" spans="1:12" ht="15" x14ac:dyDescent="0.2">
      <c r="B187" s="1413" t="s">
        <v>133</v>
      </c>
      <c r="C187" s="1414"/>
      <c r="D187" s="1415"/>
      <c r="F187" s="7"/>
      <c r="G187" s="7"/>
      <c r="H187" s="7"/>
      <c r="I187" s="7"/>
      <c r="J187" s="7"/>
      <c r="K187" s="7"/>
      <c r="L187" s="7"/>
    </row>
    <row r="188" spans="1:12" x14ac:dyDescent="0.2">
      <c r="B188" s="66" t="s">
        <v>134</v>
      </c>
      <c r="C188" s="273">
        <f>Year1</f>
        <v>0</v>
      </c>
      <c r="D188" s="274" t="str">
        <f>Year2</f>
        <v>1 Projected</v>
      </c>
      <c r="E188" s="2"/>
    </row>
    <row r="189" spans="1:12" x14ac:dyDescent="0.2">
      <c r="B189" s="194" t="s">
        <v>16</v>
      </c>
      <c r="C189" s="585">
        <f>IF(ProjPersonal="Just Business Income and Expenses",0,ACFPWagesTot)</f>
        <v>0</v>
      </c>
      <c r="D189" s="275">
        <f>IF(ProjPersonal="Just Business Income and Expenses",0,MCFPWagesTot)</f>
        <v>0</v>
      </c>
    </row>
    <row r="190" spans="1:12" x14ac:dyDescent="0.2">
      <c r="B190" s="195" t="s">
        <v>17</v>
      </c>
      <c r="C190" s="202">
        <f>IF(ProjPersonal="Just Business Income and Expenses",0,ACFPIntIncTot)</f>
        <v>0</v>
      </c>
      <c r="D190" s="276">
        <f>IF(ProjPersonal="Just Business Income and Expenses",0,MCFPIntIncTot)</f>
        <v>0</v>
      </c>
    </row>
    <row r="191" spans="1:12" x14ac:dyDescent="0.2">
      <c r="B191" s="196" t="s">
        <v>130</v>
      </c>
      <c r="C191" s="202">
        <f>IF(ProjPersonal="Just Business Income and Expenses",0,ACFPInvestTot)</f>
        <v>0</v>
      </c>
      <c r="D191" s="276">
        <f>IF(ProjPersonal="Just Business Income and Expenses",0,MCFPInvestTot)</f>
        <v>0</v>
      </c>
    </row>
    <row r="192" spans="1:12" x14ac:dyDescent="0.2">
      <c r="B192" s="196" t="s">
        <v>212</v>
      </c>
      <c r="C192" s="202">
        <f>IF(ProjPersonal="Just Business Income and Expenses",0,ACFPIncPersREETotLoan)</f>
        <v>0</v>
      </c>
      <c r="D192" s="276">
        <f>IF(ProjPersonal="Just Business Income and Expenses",0,MCFPIncPersREETotLoan)</f>
        <v>0</v>
      </c>
    </row>
    <row r="193" spans="2:5" x14ac:dyDescent="0.2">
      <c r="B193" s="196" t="s">
        <v>213</v>
      </c>
      <c r="C193" s="202">
        <f>IF(ProjPersonal="Just Business Income and Expenses",0,ACFPIncPersLoansTotLoan)</f>
        <v>0</v>
      </c>
      <c r="D193" s="276">
        <f>IF(ProjPersonal="Just Business Income and Expenses",0,MCFPIncPersLoansTotLoan)</f>
        <v>0</v>
      </c>
    </row>
    <row r="194" spans="2:5" x14ac:dyDescent="0.2">
      <c r="B194" s="196" t="s">
        <v>747</v>
      </c>
      <c r="C194" s="202">
        <f>IF(ProjPersonal="Just Business Income and Expenses",0,ACFPIncInheritTot)</f>
        <v>0</v>
      </c>
      <c r="D194" s="276">
        <f>IF(ProjPersonal="Just Business Income and Expenses",0,MCFPIncInheritTot)</f>
        <v>0</v>
      </c>
    </row>
    <row r="195" spans="2:5" x14ac:dyDescent="0.2">
      <c r="B195" s="194" t="s">
        <v>0</v>
      </c>
      <c r="C195" s="202">
        <f>IF(ProjPersonal="Just Business Income and Expenses",0,ACFPOthIncTot)</f>
        <v>0</v>
      </c>
      <c r="D195" s="276">
        <f>IF(ProjPersonal="Just Business Income and Expenses",0,MCFPOthIncTot)</f>
        <v>0</v>
      </c>
    </row>
    <row r="196" spans="2:5" x14ac:dyDescent="0.2">
      <c r="B196" s="182" t="s">
        <v>140</v>
      </c>
      <c r="C196" s="271">
        <f>SUM(C189:C195)</f>
        <v>0</v>
      </c>
      <c r="D196" s="272">
        <f>SUM(D189:D195)</f>
        <v>0</v>
      </c>
    </row>
    <row r="197" spans="2:5" ht="6.95" customHeight="1" x14ac:dyDescent="0.2">
      <c r="B197" s="191"/>
      <c r="C197" s="62"/>
      <c r="D197" s="65"/>
    </row>
    <row r="198" spans="2:5" x14ac:dyDescent="0.2">
      <c r="B198" s="66" t="s">
        <v>135</v>
      </c>
      <c r="C198" s="62"/>
      <c r="D198" s="65"/>
      <c r="E198" s="56"/>
    </row>
    <row r="199" spans="2:5" x14ac:dyDescent="0.2">
      <c r="B199" s="193" t="s">
        <v>142</v>
      </c>
      <c r="C199" s="201">
        <f>IF(ProjPersonal="Just Business Income and Expenses",0,ACFPFoodTot)</f>
        <v>0</v>
      </c>
      <c r="D199" s="275">
        <f>IF(ProjPersonal="Just Business Income and Expenses",0,MCFPFoodTot)</f>
        <v>0</v>
      </c>
    </row>
    <row r="200" spans="2:5" x14ac:dyDescent="0.2">
      <c r="B200" s="193" t="s">
        <v>143</v>
      </c>
      <c r="C200" s="202">
        <f>IF(ProjPersonal="Just Business Income and Expenses",0,ACFPMedicalTot)</f>
        <v>0</v>
      </c>
      <c r="D200" s="276">
        <f>IF(ProjPersonal="Just Business Income and Expenses",0,MCFPMedicalTot)</f>
        <v>0</v>
      </c>
      <c r="E200" s="2"/>
    </row>
    <row r="201" spans="2:5" x14ac:dyDescent="0.2">
      <c r="B201" s="193" t="s">
        <v>144</v>
      </c>
      <c r="C201" s="202">
        <f>IF(ProjPersonal="Just Business Income and Expenses",0,ACFPInsTot)</f>
        <v>0</v>
      </c>
      <c r="D201" s="276">
        <f>IF(ProjPersonal="Just Business Income and Expenses",0,MCFPInsTot)</f>
        <v>0</v>
      </c>
      <c r="E201" s="2"/>
    </row>
    <row r="202" spans="2:5" x14ac:dyDescent="0.2">
      <c r="B202" s="193" t="s">
        <v>139</v>
      </c>
      <c r="C202" s="202">
        <f>IF(ProjPersonal="Just Business Income and Expenses",0,ACFPLifeInsTot)</f>
        <v>0</v>
      </c>
      <c r="D202" s="276">
        <f>IF(ProjPersonal="Just Business Income and Expenses",0,MCFPLifeInsTot)</f>
        <v>0</v>
      </c>
    </row>
    <row r="203" spans="2:5" x14ac:dyDescent="0.2">
      <c r="B203" s="193" t="s">
        <v>153</v>
      </c>
      <c r="C203" s="202">
        <f>IF(ProjPersonal="Just Business Income and Expenses",0,ACFPDisInsTot)</f>
        <v>0</v>
      </c>
      <c r="D203" s="276">
        <f>IF(ProjPersonal="Just Business Income and Expenses",0,MCFPDisInsTot)</f>
        <v>0</v>
      </c>
      <c r="E203" s="2"/>
    </row>
    <row r="204" spans="2:5" x14ac:dyDescent="0.2">
      <c r="B204" s="193" t="s">
        <v>138</v>
      </c>
      <c r="C204" s="202">
        <f>IF(ProjPersonal="Just Business Income and Expenses",0,ACFPGiftsTot)</f>
        <v>0</v>
      </c>
      <c r="D204" s="276">
        <f>IF(ProjPersonal="Just Business Income and Expenses",0,MCFPGiftsTot)</f>
        <v>0</v>
      </c>
      <c r="E204" s="2"/>
    </row>
    <row r="205" spans="2:5" x14ac:dyDescent="0.2">
      <c r="B205" s="193" t="s">
        <v>145</v>
      </c>
      <c r="C205" s="202">
        <f>IF(ProjPersonal="Just Business Income and Expenses",0,ACFPSupTot)</f>
        <v>0</v>
      </c>
      <c r="D205" s="276">
        <f>IF(ProjPersonal="Just Business Income and Expenses",0,MCFPSupTot)</f>
        <v>0</v>
      </c>
      <c r="E205" s="2"/>
    </row>
    <row r="206" spans="2:5" x14ac:dyDescent="0.2">
      <c r="B206" s="193" t="s">
        <v>146</v>
      </c>
      <c r="C206" s="202">
        <f>IF(ProjPersonal="Just Business Income and Expenses",0,ACFPClothingTot)</f>
        <v>0</v>
      </c>
      <c r="D206" s="276">
        <f>IF(ProjPersonal="Just Business Income and Expenses",0,MCFPClothingTot)</f>
        <v>0</v>
      </c>
      <c r="E206" s="2"/>
    </row>
    <row r="207" spans="2:5" x14ac:dyDescent="0.2">
      <c r="B207" s="193" t="s">
        <v>147</v>
      </c>
      <c r="C207" s="202">
        <f>IF(ProjPersonal="Just Business Income and Expenses",0,ACFPPersCareTot)</f>
        <v>0</v>
      </c>
      <c r="D207" s="276">
        <f>IF(ProjPersonal="Just Business Income and Expenses",0,MCFPPersCareTot)</f>
        <v>0</v>
      </c>
      <c r="E207" s="2"/>
    </row>
    <row r="208" spans="2:5" x14ac:dyDescent="0.2">
      <c r="B208" s="193" t="s">
        <v>148</v>
      </c>
      <c r="C208" s="202">
        <f>IF(ProjPersonal="Just Business Income and Expenses",0,ACFPChildCareTot)</f>
        <v>0</v>
      </c>
      <c r="D208" s="276">
        <f>IF(ProjPersonal="Just Business Income and Expenses",0,MCFPChildCareTot)</f>
        <v>0</v>
      </c>
      <c r="E208" s="2"/>
    </row>
    <row r="209" spans="2:5" x14ac:dyDescent="0.2">
      <c r="B209" s="192" t="s">
        <v>2</v>
      </c>
      <c r="C209" s="202">
        <f>IF(ProjPersonal="Just Business Income and Expenses",0,ACFPChildSupTot)</f>
        <v>0</v>
      </c>
      <c r="D209" s="276">
        <f>IF(ProjPersonal="Just Business Income and Expenses",0,MCFPChildSupTot)</f>
        <v>0</v>
      </c>
      <c r="E209" s="2"/>
    </row>
    <row r="210" spans="2:5" x14ac:dyDescent="0.2">
      <c r="B210" s="193" t="s">
        <v>136</v>
      </c>
      <c r="C210" s="202">
        <f>IF(ProjPersonal="Just Business Income and Expenses",0,ACFPEducationTot)</f>
        <v>0</v>
      </c>
      <c r="D210" s="276">
        <f>IF(ProjPersonal="Just Business Income and Expenses",0,MCFPEducationTot)</f>
        <v>0</v>
      </c>
      <c r="E210" s="2"/>
    </row>
    <row r="211" spans="2:5" x14ac:dyDescent="0.2">
      <c r="B211" s="193" t="s">
        <v>149</v>
      </c>
      <c r="C211" s="202">
        <f>IF(ProjPersonal="Just Business Income and Expenses",0,ACFPRecTot)</f>
        <v>0</v>
      </c>
      <c r="D211" s="276">
        <f>IF(ProjPersonal="Just Business Income and Expenses",0,MCFPRecTot)</f>
        <v>0</v>
      </c>
      <c r="E211" s="2"/>
    </row>
    <row r="212" spans="2:5" x14ac:dyDescent="0.2">
      <c r="B212" s="193" t="s">
        <v>46</v>
      </c>
      <c r="C212" s="586">
        <f>IF(ProjPersonal="Just Business Income and Expenses",0,ACFPUtilTot)</f>
        <v>0</v>
      </c>
      <c r="D212" s="276">
        <f>IF(ProjPersonal="Just Business Income and Expenses",0,MCFPUtilTot)</f>
        <v>0</v>
      </c>
      <c r="E212" s="2"/>
    </row>
    <row r="213" spans="2:5" x14ac:dyDescent="0.2">
      <c r="B213" s="193" t="s">
        <v>150</v>
      </c>
      <c r="C213" s="202">
        <f>IF(ProjPersonal="Just Business Income and Expenses",0,ACFPVehTot)</f>
        <v>0</v>
      </c>
      <c r="D213" s="276">
        <f>IF(ProjPersonal="Just Business Income and Expenses",0,MCFPVehTot)</f>
        <v>0</v>
      </c>
      <c r="E213" s="2"/>
    </row>
    <row r="214" spans="2:5" x14ac:dyDescent="0.2">
      <c r="B214" s="197" t="s">
        <v>49</v>
      </c>
      <c r="C214" s="202">
        <f>IF(ProjPersonal="Just Business Income and Expenses",0,ACFPLoanPayTot)</f>
        <v>0</v>
      </c>
      <c r="D214" s="276">
        <f>IF(ProjPersonal="Just Business Income and Expenses",0,MCFPLoanPayTot)</f>
        <v>0</v>
      </c>
      <c r="E214" s="2"/>
    </row>
    <row r="215" spans="2:5" x14ac:dyDescent="0.2">
      <c r="B215" s="193" t="s">
        <v>199</v>
      </c>
      <c r="C215" s="202">
        <f>IF(ProjPersonal="Just Business Income and Expenses",0,ACFPMortTot)</f>
        <v>0</v>
      </c>
      <c r="D215" s="276">
        <f>IF(ProjPersonal="Just Business Income and Expenses",0,MCFPMortTot)</f>
        <v>0</v>
      </c>
      <c r="E215" s="2"/>
    </row>
    <row r="216" spans="2:5" x14ac:dyDescent="0.2">
      <c r="B216" s="193" t="s">
        <v>137</v>
      </c>
      <c r="C216" s="202">
        <f>IF(ProjPersonal="Just Business Income and Expenses",0,ACFPPropInsTot)</f>
        <v>0</v>
      </c>
      <c r="D216" s="276">
        <f>IF(ProjPersonal="Just Business Income and Expenses",0,MCFPPropInsTot)</f>
        <v>0</v>
      </c>
      <c r="E216" s="2"/>
    </row>
    <row r="217" spans="2:5" x14ac:dyDescent="0.2">
      <c r="B217" s="193" t="s">
        <v>151</v>
      </c>
      <c r="C217" s="202">
        <f>IF(ProjPersonal="Just Business Income and Expenses",0,ACFPRETaxesTot)</f>
        <v>0</v>
      </c>
      <c r="D217" s="276">
        <f>IF(ProjPersonal="Just Business Income and Expenses",0,MCFPRETaxesTot)</f>
        <v>0</v>
      </c>
      <c r="E217" s="2"/>
    </row>
    <row r="218" spans="2:5" x14ac:dyDescent="0.2">
      <c r="B218" s="193" t="s">
        <v>152</v>
      </c>
      <c r="C218" s="202">
        <f>IF(ProjPersonal="Just Business Income and Expenses",0,ACFPIncTaxTot)</f>
        <v>0</v>
      </c>
      <c r="D218" s="276">
        <f>IF(ProjPersonal="Just Business Income and Expenses",0,MCFPIncTaxTot)</f>
        <v>0</v>
      </c>
      <c r="E218" s="2"/>
    </row>
    <row r="219" spans="2:5" x14ac:dyDescent="0.2">
      <c r="B219" s="193" t="s">
        <v>200</v>
      </c>
      <c r="C219" s="202">
        <f>IF(ProjPersonal="Just Business Income and Expenses",0,aCFPIncPersREETot)</f>
        <v>0</v>
      </c>
      <c r="D219" s="276">
        <f>IF(ProjPersonal="Just Business Income and Expenses",0,MCFPIncPersREETot)</f>
        <v>0</v>
      </c>
      <c r="E219" s="2"/>
    </row>
    <row r="220" spans="2:5" x14ac:dyDescent="0.2">
      <c r="B220" s="193" t="s">
        <v>171</v>
      </c>
      <c r="C220" s="202">
        <f>IF(ProjPersonal="Just Business Income and Expenses",0,ACFPIncPersLoansTot)</f>
        <v>0</v>
      </c>
      <c r="D220" s="276">
        <f>IF(ProjPersonal="Just Business Income and Expenses",0,MCFPIncPersLoansTot)</f>
        <v>0</v>
      </c>
      <c r="E220" s="2"/>
    </row>
    <row r="221" spans="2:5" x14ac:dyDescent="0.2">
      <c r="B221" s="193" t="s">
        <v>443</v>
      </c>
      <c r="C221" s="202">
        <f>ACFPPersRetirementTot</f>
        <v>0</v>
      </c>
      <c r="D221" s="276">
        <f>MCFPPersRetirementTot</f>
        <v>0</v>
      </c>
      <c r="E221" s="2"/>
    </row>
    <row r="222" spans="2:5" x14ac:dyDescent="0.2">
      <c r="B222" s="193" t="s">
        <v>444</v>
      </c>
      <c r="C222" s="202">
        <f>ACFPPersVehPurchTot</f>
        <v>0</v>
      </c>
      <c r="D222" s="276">
        <f>MCFPPersVehPurchTot</f>
        <v>0</v>
      </c>
      <c r="E222" s="2"/>
    </row>
    <row r="223" spans="2:5" x14ac:dyDescent="0.2">
      <c r="B223" s="193" t="s">
        <v>445</v>
      </c>
      <c r="C223" s="202">
        <f>ACFPPersCapPurchTot</f>
        <v>0</v>
      </c>
      <c r="D223" s="276">
        <f>MCFPPersCapPurchTot</f>
        <v>0</v>
      </c>
      <c r="E223" s="2"/>
    </row>
    <row r="224" spans="2:5" x14ac:dyDescent="0.2">
      <c r="B224" s="193" t="s">
        <v>751</v>
      </c>
      <c r="C224" s="202">
        <f>IF(ProjPersonal="Just Business Income and Expenses",0,ACFPOthPurchTot)</f>
        <v>0</v>
      </c>
      <c r="D224" s="276">
        <f>IF(ProjPersonal="Just Business Income and Expenses",0,MCFPOthPurchTot)</f>
        <v>0</v>
      </c>
      <c r="E224" s="51"/>
    </row>
    <row r="225" spans="2:5" ht="15.75" x14ac:dyDescent="0.25">
      <c r="B225" s="192" t="s">
        <v>18</v>
      </c>
      <c r="C225" s="202">
        <f>IF(ProjPersonal="Just Business Income and Expenses",0,ACFPOthPayTot)</f>
        <v>0</v>
      </c>
      <c r="D225" s="276">
        <f>IF(ProjPersonal="Just Business Income and Expenses",0,MCFPOthPayTot)</f>
        <v>0</v>
      </c>
      <c r="E225" s="11"/>
    </row>
    <row r="226" spans="2:5" x14ac:dyDescent="0.2">
      <c r="B226" s="182" t="s">
        <v>141</v>
      </c>
      <c r="C226" s="271">
        <f>SUM(C199:C225)</f>
        <v>0</v>
      </c>
      <c r="D226" s="272">
        <f>SUM(D199:D225)</f>
        <v>0</v>
      </c>
    </row>
    <row r="227" spans="2:5" ht="6.95" customHeight="1" x14ac:dyDescent="0.2">
      <c r="B227" s="191"/>
      <c r="C227" s="145"/>
      <c r="D227" s="181"/>
    </row>
    <row r="228" spans="2:5" ht="12.95" customHeight="1" x14ac:dyDescent="0.2">
      <c r="B228" s="191"/>
      <c r="C228" s="273">
        <f>Year1</f>
        <v>0</v>
      </c>
      <c r="D228" s="274" t="str">
        <f>Year2</f>
        <v>1 Projected</v>
      </c>
    </row>
    <row r="229" spans="2:5" ht="16.5" thickBot="1" x14ac:dyDescent="0.3">
      <c r="B229" s="64" t="s">
        <v>48</v>
      </c>
      <c r="C229" s="279">
        <f>C158+IF(HowSell="Direct to Processor",0,'Final Income and Cash Flows'!C177)+IF(ProjPersonal="Just Business Income and Expenses",0,'Final Income and Cash Flows'!C196-'Final Income and Cash Flows'!C226)</f>
        <v>0</v>
      </c>
      <c r="D229" s="594">
        <f>D158+IF(HowSell="Direct to Processor",0,'Final Income and Cash Flows'!D177)+IF(ProjPersonal="Just Business Income and Expenses",0,'Final Income and Cash Flows'!D196-'Final Income and Cash Flows'!D226)</f>
        <v>0</v>
      </c>
    </row>
    <row r="230" spans="2:5" ht="5.0999999999999996" customHeight="1" thickTop="1" x14ac:dyDescent="0.2">
      <c r="B230" s="198"/>
      <c r="C230" s="199"/>
      <c r="D230" s="200"/>
    </row>
    <row r="233" spans="2:5" x14ac:dyDescent="0.2">
      <c r="C233" s="684">
        <f>Year1PersOutflows</f>
        <v>0</v>
      </c>
    </row>
  </sheetData>
  <sheetProtection algorithmName="SHA-512" hashValue="ogl3ovF8uPWYZHzect7R7wZLfS+O+LrYHHwBfQGb9wfOG2kjJLwvqVidcIxGMxFqne9A1kPIuilvtgzKwlUyUw==" saltValue="LFuW6iPNq+1Sxq6Arh2skg==" spinCount="100000" sheet="1" objects="1" scenarios="1"/>
  <sortState xmlns:xlrd2="http://schemas.microsoft.com/office/spreadsheetml/2017/richdata2" ref="B33:E48">
    <sortCondition descending="1" ref="D33:D48"/>
    <sortCondition ref="C33:C48"/>
  </sortState>
  <mergeCells count="17">
    <mergeCell ref="D1:D6"/>
    <mergeCell ref="C1:C6"/>
    <mergeCell ref="B1:B6"/>
    <mergeCell ref="B10:D12"/>
    <mergeCell ref="C16:D16"/>
    <mergeCell ref="B187:D187"/>
    <mergeCell ref="B83:D85"/>
    <mergeCell ref="B180:D182"/>
    <mergeCell ref="B87:D87"/>
    <mergeCell ref="B186:D186"/>
    <mergeCell ref="B139:D139"/>
    <mergeCell ref="B138:D138"/>
    <mergeCell ref="B137:D137"/>
    <mergeCell ref="B88:D88"/>
    <mergeCell ref="B160:D160"/>
    <mergeCell ref="B161:D161"/>
    <mergeCell ref="B162:D162"/>
  </mergeCells>
  <phoneticPr fontId="0" type="noConversion"/>
  <conditionalFormatting sqref="B180:D220 B224:D226 C221:D223">
    <cfRule type="expression" dxfId="11" priority="16">
      <formula>ProjPersonal="Just Business Income and Expenses"</formula>
    </cfRule>
  </conditionalFormatting>
  <conditionalFormatting sqref="D18:D19 D114:D121 D172:D176 D150:D156 D189:D195 D199:D225 D33 D37:D45 D47:D49 D101:D110 C20:D29 D90:D97 D51:D59 D63:D71 D73:D74">
    <cfRule type="expression" dxfId="10" priority="15">
      <formula>ProjTime="Monthly"</formula>
    </cfRule>
  </conditionalFormatting>
  <conditionalFormatting sqref="C19">
    <cfRule type="expression" dxfId="9" priority="14">
      <formula>ProjTime="Monthly"</formula>
    </cfRule>
  </conditionalFormatting>
  <conditionalFormatting sqref="C150:C156">
    <cfRule type="expression" dxfId="8" priority="13">
      <formula>ProjTime="Monthly"</formula>
    </cfRule>
  </conditionalFormatting>
  <conditionalFormatting sqref="B221:B223">
    <cfRule type="expression" dxfId="7" priority="2">
      <formula>ProjPersonal="Just Business Income and Expenses"</formula>
    </cfRule>
  </conditionalFormatting>
  <conditionalFormatting sqref="D72">
    <cfRule type="expression" dxfId="6" priority="1">
      <formula>ProjTime="Monthly"</formula>
    </cfRule>
  </conditionalFormatting>
  <dataValidations xWindow="1136" yWindow="436" count="56">
    <dataValidation allowBlank="1" showInputMessage="1" showErrorMessage="1" prompt="Sales to processors" sqref="B18" xr:uid="{00000000-0002-0000-0F00-000000000000}"/>
    <dataValidation type="custom" allowBlank="1" showInputMessage="1" showErrorMessage="1" errorTitle="No Personal Details" error="You told us you only wanted to enter business income &amp; expenses._x000a__x000a_To enter personal expenses, click on the blue button to change your answer." sqref="D197:D198 C197:C225 C189:C195 C187:D187 B187:B226" xr:uid="{00000000-0002-0000-0F00-000001000000}">
      <formula1>ProjPersonal&lt;&gt;"Just Business Income and Expenses"</formula1>
    </dataValidation>
    <dataValidation type="custom" allowBlank="1" showInputMessage="1" showErrorMessage="1" errorTitle="You only sell to processor" error="In general information, you marked that you only sell your catch directly to processors.  To change this, click the blue button next to &quot;Direct Marketing Income and Costs&quot;" sqref="D112:D113 D99:D100 C88:D88 C90:C97 C112:C121 C172:C176 C123:D123 C125:D125 D95 C99:C110 B88:B118 B120:B126 C168:D168 B177 B168:B176" xr:uid="{00000000-0002-0000-0F00-000002000000}">
      <formula1>HowSell&lt;&gt;"Direct to Processor"</formula1>
    </dataValidation>
    <dataValidation type="custom" errorStyle="information" allowBlank="1" error="=IF(CellEntry()=&quot;&quot;,IF(MCFPVehTot&lt;&gt;0,MCFPVehTot,0),CellEntry())" sqref="D213" xr:uid="{00000000-0002-0000-0F00-000003000000}">
      <formula1>(1=1)</formula1>
    </dataValidation>
    <dataValidation type="custom" errorStyle="information" allowBlank="1" error="=IF(CellEntry()=&quot;&quot;,IF(MCFPMedicalTot&lt;&gt;0,MCFPMedicalTot,0),CellEntry())" sqref="D200" xr:uid="{00000000-0002-0000-0F00-000004000000}">
      <formula1>(1=1)</formula1>
    </dataValidation>
    <dataValidation type="custom" errorStyle="information" allowBlank="1" error="=IF(CellEntry()=&quot;&quot;,IF(MCFDMFCOthTot&lt;&gt;0,MCFDMFCOthTot,0),CellEntry())" sqref="D121" xr:uid="{00000000-0002-0000-0F00-000005000000}">
      <formula1>(1=1)</formula1>
    </dataValidation>
    <dataValidation type="custom" errorStyle="information" allowBlank="1" error="=IF(CellEntry()=&quot;&quot;,IF(MCFDMVCShippingTot&lt;&gt;0,MCFDMVCShippingTot,0),CellEntry())" sqref="D106" xr:uid="{00000000-0002-0000-0F00-000006000000}">
      <formula1>(1=1)</formula1>
    </dataValidation>
    <dataValidation type="custom" errorStyle="information" allowBlank="1" error="=IF(CellEntry()=&quot;&quot;,IF(MCFPGiftsTot&lt;&gt;0,MCFPGiftsTot,0),CellEntry())" sqref="D204" xr:uid="{00000000-0002-0000-0F00-000007000000}">
      <formula1>(1=1)</formula1>
    </dataValidation>
    <dataValidation type="custom" errorStyle="information" allowBlank="1" error="=IF(CellEntry()=&quot;&quot;,IF(MCFDMNewCredTot&lt;&gt;0,MCFDMNewCredTot,0),CellEntry())" sqref="D173:D174" xr:uid="{00000000-0002-0000-0F00-000008000000}">
      <formula1>(1=1)</formula1>
    </dataValidation>
    <dataValidation type="custom" errorStyle="information" allowBlank="1" error="=IF(CellEntry()=&quot;&quot;,IF(MCFDMVCMiscTot&lt;&gt;0,MCFDMVCMiscTot,0),CellEntry())" sqref="D105" xr:uid="{00000000-0002-0000-0F00-000009000000}">
      <formula1>(1=1)</formula1>
    </dataValidation>
    <dataValidation type="custom" errorStyle="information" allowBlank="1" error="=IF(CellEntry()=&quot;&quot;,IF(MCFPMortTot&lt;&gt;0,MCFPMortTot,0),CellEntry())" sqref="D215" xr:uid="{00000000-0002-0000-0F00-00000A000000}">
      <formula1>(1=1)</formula1>
    </dataValidation>
    <dataValidation type="custom" errorStyle="information" allowBlank="1" error="=IF(CellEntry()=&quot;&quot;,IF(MCFPLoanPayTot&lt;&gt;0,MCFPLoanPayTot,0),CellEntry())" sqref="D214" xr:uid="{00000000-0002-0000-0F00-00000B000000}">
      <formula1>(1=1)</formula1>
    </dataValidation>
    <dataValidation type="custom" errorStyle="information" allowBlank="1" error="=IF(CellEntry()=&quot;&quot;,IF(MCFDMVCInsTot&lt;&gt;0,MCFDMVCInsTot,0),CellEntry())" sqref="D102" xr:uid="{00000000-0002-0000-0F00-00000C000000}">
      <formula1>(1=1)</formula1>
    </dataValidation>
    <dataValidation type="custom" errorStyle="information" allowBlank="1" error="=IF(CellEntry()=&quot;&quot;,IF(MCFPRETaxesTot&lt;&gt;0,MCFPRETaxesTot,0),CellEntry())" sqref="D217" xr:uid="{00000000-0002-0000-0F00-00000D000000}">
      <formula1>(1=1)</formula1>
    </dataValidation>
    <dataValidation type="custom" errorStyle="information" allowBlank="1" error="=IF(CellEntry()=&quot;&quot;,IF(MCFDMVCOthTot&lt;&gt;0,MCFDMVCOthTot,0),CellEntry())" sqref="D110" xr:uid="{00000000-0002-0000-0F00-00000E000000}">
      <formula1>(1=1)</formula1>
    </dataValidation>
    <dataValidation type="custom" errorStyle="information" allowBlank="1" error="=IF(CellEntry()=&quot;&quot;,IF(MCFDMFCVehTot&lt;&gt;0,MCFDMFCVehTot,0),CellEntry())" sqref="D117" xr:uid="{00000000-0002-0000-0F00-00000F000000}">
      <formula1>(1=1)</formula1>
    </dataValidation>
    <dataValidation type="custom" errorStyle="information" allowBlank="1" error="=IF(CellEntry()=&quot;&quot;,IF(MCFPDisInsTot&lt;&gt;0,MCFPDisInsTot,0),CellEntry())" sqref="D203" xr:uid="{00000000-0002-0000-0F00-000010000000}">
      <formula1>(1=1)</formula1>
    </dataValidation>
    <dataValidation type="custom" errorStyle="information" allowBlank="1" error="=IF(CellEntry()=&quot;&quot;,IF(MCFDMFCPromoTot&lt;&gt;0,MCFDMFCPromoTot,0),CellEntry())" sqref="D115" xr:uid="{00000000-0002-0000-0F00-000011000000}">
      <formula1>(1=1)</formula1>
    </dataValidation>
    <dataValidation type="custom" errorStyle="information" allowBlank="1" error="=IF(CellEntry()=&quot;&quot;,IF(MCFDMVCSuppliesTot&lt;&gt;0,MCFDMVCSuppliesTot,0),CellEntry())" sqref="D104" xr:uid="{00000000-0002-0000-0F00-000012000000}">
      <formula1>(1=1)</formula1>
    </dataValidation>
    <dataValidation type="custom" errorStyle="information" allowBlank="1" error="=IF(CellEntry()=&quot;&quot;,IF(MCFDMPrinTot&lt;&gt;0,MCFDMPrinTot,0),CellEntry())" sqref="D172" xr:uid="{00000000-0002-0000-0F00-000013000000}">
      <formula1>(1=1)</formula1>
    </dataValidation>
    <dataValidation type="custom" errorStyle="information" allowBlank="1" error="=IF(CellEntry()=&quot;&quot;,IF(MCFPIntIncTot&lt;&gt;0,MCFPIntIncTot,0),CellEntry())" sqref="D190" xr:uid="{00000000-0002-0000-0F00-000014000000}">
      <formula1>(1=1)</formula1>
    </dataValidation>
    <dataValidation type="custom" errorStyle="information" allowBlank="1" error="=IF(CellEntry()=&quot;&quot;,IF(MCFPUtilTot&lt;&gt;0,MCFPUtilTot,0),CellEntry())" sqref="D212" xr:uid="{00000000-0002-0000-0F00-000015000000}">
      <formula1>(1=1)</formula1>
    </dataValidation>
    <dataValidation type="custom" errorStyle="information" allowBlank="1" error="=IF(CellEntry()=&quot;&quot;,IF(MCFDMEtcTot&lt;&gt;0,MCFDMEtcTot,0),CellEntry())" sqref="D94" xr:uid="{00000000-0002-0000-0F00-000016000000}">
      <formula1>(1=1)</formula1>
    </dataValidation>
    <dataValidation type="custom" errorStyle="information" allowBlank="1" error="=IF(CellEntry()=&quot;&quot;,IF(MCFPSupTot&lt;&gt;0,MCFPSupTot,0),CellEntry())" sqref="D205" xr:uid="{00000000-0002-0000-0F00-000017000000}">
      <formula1>(1=1)</formula1>
    </dataValidation>
    <dataValidation type="custom" errorStyle="information" allowBlank="1" error="=IF(CellEntry()=&quot;&quot;,IF(MCFDMVCPurchFinTot&lt;&gt;0,MCFDMVCPurchFinTot,0),CellEntry())" sqref="D109" xr:uid="{00000000-0002-0000-0F00-000018000000}">
      <formula1>(1=1)</formula1>
    </dataValidation>
    <dataValidation type="custom" errorStyle="information" allowBlank="1" error="=IF(CellEntry()=&quot;&quot;,IF(MCFDMOthTot&lt;&gt;0,MCFDMOthTot,0),CellEntry())" sqref="D97" xr:uid="{00000000-0002-0000-0F00-000019000000}">
      <formula1>(1=1)</formula1>
    </dataValidation>
    <dataValidation type="custom" errorStyle="information" allowBlank="1" error="=IF(CellEntry()=&quot;&quot;,IF(MCFDMGainShoreTot&lt;&gt;0,MCFDMGainShoreTot,0),CellEntry())" sqref="D96" xr:uid="{00000000-0002-0000-0F00-00001A000000}">
      <formula1>(1=1)</formula1>
    </dataValidation>
    <dataValidation type="custom" errorStyle="information" allowBlank="1" error="=IF(CellEntry()=&quot;&quot;,IF(MCFPOthPurchTot&lt;&gt;0,MCFPOthPurchTot,0),CellEntry())" sqref="D224" xr:uid="{00000000-0002-0000-0F00-00001B000000}">
      <formula1>(1=1)</formula1>
    </dataValidation>
    <dataValidation type="custom" errorStyle="information" allowBlank="1" error="=IF(CellEntry()=&quot;&quot;,IF(MCFPIncTaxTot&lt;&gt;0,MCFPIncTaxTot,0),CellEntry())" sqref="D218:D223" xr:uid="{00000000-0002-0000-0F00-00001C000000}">
      <formula1>(1=1)</formula1>
    </dataValidation>
    <dataValidation type="custom" errorStyle="information" allowBlank="1" error="=IF(CellEntry()=&quot;&quot;,IF(MCFDMVCUtilTot&lt;&gt;0,MCFDMVCUtilTot,0),CellEntry())" sqref="D107" xr:uid="{00000000-0002-0000-0F00-00001D000000}">
      <formula1>(1=1)</formula1>
    </dataValidation>
    <dataValidation type="custom" errorStyle="information" allowBlank="1" error="=IF(CellEntry()=&quot;&quot;,IF(MCFDMEquipSaleTot&lt;&gt;0,MCFDMEquipSaleTot,0),CellEntry())" sqref="D176" xr:uid="{00000000-0002-0000-0F00-00001E000000}">
      <formula1>(1=1)</formula1>
    </dataValidation>
    <dataValidation type="custom" errorStyle="information" allowBlank="1" error="=IF(CellEntry()=&quot;&quot;,IF(MCFPFoodTot&lt;&gt;0,MCFPFoodTot,0),CellEntry())" sqref="D199" xr:uid="{00000000-0002-0000-0F00-00001F000000}">
      <formula1>(1=1)</formula1>
    </dataValidation>
    <dataValidation type="custom" errorStyle="information" allowBlank="1" error="=IF(CellEntry()=&quot;&quot;,IF(MCFPEducationTot&lt;&gt;0,MCFPEducationTot,0),CellEntry())" sqref="D210" xr:uid="{00000000-0002-0000-0F00-000020000000}">
      <formula1>(1=1)</formula1>
    </dataValidation>
    <dataValidation type="custom" errorStyle="information" allowBlank="1" error="=IF(CellEntry()=&quot;&quot;,IF(MCFDMFCMiscTot&lt;&gt;0,MCFDMFCMiscTot,0),CellEntry())" sqref="D120" xr:uid="{00000000-0002-0000-0F00-000021000000}">
      <formula1>(1=1)</formula1>
    </dataValidation>
    <dataValidation type="custom" errorStyle="information" allowBlank="1" error="=IF(CellEntry()=&quot;&quot;,IF(MCFPOthPayTot&lt;&gt;0,MCFPOthPayTot,0),CellEntry())" sqref="D225" xr:uid="{00000000-0002-0000-0F00-000022000000}">
      <formula1>(1=1)</formula1>
    </dataValidation>
    <dataValidation type="custom" errorStyle="information" allowBlank="1" error="=IF(CellEntry()=&quot;&quot;,IF(MCFDMFCRentTot&lt;&gt;0,MCFDMFCRentTot,0),CellEntry())" sqref="D114" xr:uid="{00000000-0002-0000-0F00-000023000000}">
      <formula1>(1=1)</formula1>
    </dataValidation>
    <dataValidation type="custom" errorStyle="information" allowBlank="1" error="=IF(CellEntry()=&quot;&quot;,IF(MCFDMVCPackTot&lt;&gt;0,MCFDMVCPackTot,0),CellEntry())" sqref="D103" xr:uid="{00000000-0002-0000-0F00-000024000000}">
      <formula1>(1=1)</formula1>
    </dataValidation>
    <dataValidation type="custom" errorStyle="information" allowBlank="1" error="=IF(CellEntry()=&quot;&quot;,IF(MCFPPropInsTot&lt;&gt;0,MCFPPropInsTot,0),CellEntry())" sqref="D216" xr:uid="{00000000-0002-0000-0F00-000025000000}">
      <formula1>(1=1)</formula1>
    </dataValidation>
    <dataValidation type="custom" errorStyle="information" allowBlank="1" error="=IF(CellEntry()=&quot;&quot;,IF(MCFPRecTot&lt;&gt;0,MCFPRecTot,0),CellEntry())" sqref="D211" xr:uid="{00000000-0002-0000-0F00-000026000000}">
      <formula1>(1=1)</formula1>
    </dataValidation>
    <dataValidation type="custom" errorStyle="information" allowBlank="1" error="=IF(CellEntry()=&quot;&quot;,IF(MCFPChildSupTot&lt;&gt;0,MCFPChildSupTot,0),CellEntry())" sqref="D209" xr:uid="{00000000-0002-0000-0F00-000027000000}">
      <formula1>(1=1)</formula1>
    </dataValidation>
    <dataValidation type="custom" errorStyle="information" allowBlank="1" error="=IF(CellEntry()=&quot;&quot;,IF(MCFDMFCPermitTot&lt;&gt;0,MCFDMFCPermitTot,0),CellEntry())" sqref="D116" xr:uid="{00000000-0002-0000-0F00-000028000000}">
      <formula1>(1=1)</formula1>
    </dataValidation>
    <dataValidation type="custom" errorStyle="information" allowBlank="1" error="=IF(CellEntry()=&quot;&quot;,IF(MCFDMSalesTot&lt;&gt;0,MCFDMSalesTot,0),CellEntry())" sqref="D90:D93" xr:uid="{00000000-0002-0000-0F00-000029000000}">
      <formula1>(1=1)</formula1>
    </dataValidation>
    <dataValidation type="custom" errorStyle="information" allowBlank="1" error="=IF(CellEntry()=&quot;&quot;,IF(MCFPOthIncTot&lt;&gt;0,MCFPOthIncTot,0),CellEntry())" sqref="D195" xr:uid="{00000000-0002-0000-0F00-00002A000000}">
      <formula1>(1=1)</formula1>
    </dataValidation>
    <dataValidation type="custom" errorStyle="information" allowBlank="1" error="=IF(CellEntry()=&quot;&quot;,IF(MCFDMCapPurchTot&lt;&gt;0,MCFDMCapPurchTot,0),CellEntry())" sqref="D175" xr:uid="{00000000-0002-0000-0F00-00002B000000}">
      <formula1>(1=1)</formula1>
    </dataValidation>
    <dataValidation type="custom" errorStyle="information" allowBlank="1" error="=IF(CellEntry()=&quot;&quot;,IF(MCFDMFCDeprTot&lt;&gt;0,MCFDMFCDeprTot,0),CellEntry())" sqref="D118:D119" xr:uid="{00000000-0002-0000-0F00-00002C000000}">
      <formula1>(1=1)</formula1>
    </dataValidation>
    <dataValidation type="custom" errorStyle="information" allowBlank="1" error="=IF(CellEntry()=&quot;&quot;,IF(MCFPLifeInsTot&lt;&gt;0,MCFPLifeInsTot,0),CellEntry())" sqref="D202" xr:uid="{00000000-0002-0000-0F00-00002D000000}">
      <formula1>(1=1)</formula1>
    </dataValidation>
    <dataValidation type="custom" errorStyle="information" allowBlank="1" error="=IF(CellEntry()=&quot;&quot;,IF(MCFPChildCareTot&lt;&gt;0,MCFPChildCareTot,0),CellEntry())" sqref="D208" xr:uid="{00000000-0002-0000-0F00-00002E000000}">
      <formula1>(1=1)</formula1>
    </dataValidation>
    <dataValidation type="custom" errorStyle="information" allowBlank="1" error="=IF(CellEntry()=&quot;&quot;,IF(MCFDMVCLaborTot&lt;&gt;0,MCFDMVCLaborTot,0),CellEntry())" sqref="D101" xr:uid="{00000000-0002-0000-0F00-00002F000000}">
      <formula1>(1=1)</formula1>
    </dataValidation>
    <dataValidation type="custom" errorStyle="information" allowBlank="1" error="=IF(CellEntry()=&quot;&quot;,IF(MCFPInvestTot&lt;&gt;0,MCFPInvestTot,0),CellEntry())" sqref="D191:D194" xr:uid="{00000000-0002-0000-0F00-000030000000}">
      <formula1>(1=1)</formula1>
    </dataValidation>
    <dataValidation type="custom" errorStyle="information" allowBlank="1" error="=IF(CellEntry()=&quot;&quot;,IF(MCFPClothingTot&lt;&gt;0,MCFPClothingTot,0),CellEntry())" sqref="D206" xr:uid="{00000000-0002-0000-0F00-000031000000}">
      <formula1>(1=1)</formula1>
    </dataValidation>
    <dataValidation type="custom" errorStyle="information" allowBlank="1" error="=IF(CellEntry()=&quot;&quot;,IF(MCFDMVCColdTot&lt;&gt;0,MCFDMVCColdTot,0),CellEntry())" sqref="D108" xr:uid="{00000000-0002-0000-0F00-000032000000}">
      <formula1>(1=1)</formula1>
    </dataValidation>
    <dataValidation type="custom" errorStyle="information" allowBlank="1" error="=IF(CellEntry()=&quot;&quot;,IF(MCFPWagesTot&lt;&gt;0,MCFPWagesTot,0),CellEntry())" sqref="D189" xr:uid="{00000000-0002-0000-0F00-000033000000}">
      <formula1>(1=1)</formula1>
    </dataValidation>
    <dataValidation type="custom" errorStyle="information" allowBlank="1" error="=IF(CellEntry()=&quot;&quot;,IF(MCFPInsTot&lt;&gt;0,MCFPInsTot,0),CellEntry())" sqref="D201" xr:uid="{00000000-0002-0000-0F00-000034000000}">
      <formula1>(1=1)</formula1>
    </dataValidation>
    <dataValidation type="custom" errorStyle="information" allowBlank="1" error="=IF(CellEntry()=&quot;&quot;,IF(MCFPPersCareTot&lt;&gt;0,MCFPPersCareTot,0),CellEntry())" sqref="D207" xr:uid="{00000000-0002-0000-0F00-000035000000}">
      <formula1>(1=1)</formula1>
    </dataValidation>
    <dataValidation type="custom" allowBlank="1" showInputMessage="1" showErrorMessage="1" error="You told us that you only sold directly to processors.  Click the blue button next to &quot;Direct Marketing Income &amp; Costs&quot; to go back to make this change if you need this section." sqref="B119" xr:uid="{00000000-0002-0000-0F00-000036000000}">
      <formula1>HowSell&lt;&gt;"Direct to Processor"</formula1>
    </dataValidation>
    <dataValidation type="custom" allowBlank="1" showInputMessage="1" showErrorMessage="1" errorTitle="You only sell to processor" error="In general information, you marked that you only sell your product directly to processors.  To change this, click the blue button next to &quot;Direct Marketing Income and Costs&quot;" sqref="C140:D158 C18:D80 C163:D167" xr:uid="{00000000-0002-0000-0F00-000037000000}">
      <formula1>HowSell&lt;&gt;"Direct to Consumer"</formula1>
    </dataValidation>
  </dataValidations>
  <printOptions horizontalCentered="1" verticalCentered="1"/>
  <pageMargins left="0.75" right="0.75" top="0.6" bottom="0.25" header="0.5" footer="0"/>
  <pageSetup pageOrder="overThenDown" orientation="portrait" horizontalDpi="300" verticalDpi="300" r:id="rId1"/>
  <headerFooter>
    <oddFooter>&amp;LAgPlan Income Statement &amp; Cash Flow Summary&amp;RAgPlan.com</oddFooter>
  </headerFooter>
  <rowBreaks count="3" manualBreakCount="3">
    <brk id="81" max="16383" man="1"/>
    <brk id="136" max="16383" man="1"/>
    <brk id="178" min="1"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Drop Down 1">
              <controlPr locked="0" defaultSize="0" autoLine="0" autoPict="0">
                <anchor moveWithCells="1">
                  <from>
                    <xdr:col>3</xdr:col>
                    <xdr:colOff>295275</xdr:colOff>
                    <xdr:row>6</xdr:row>
                    <xdr:rowOff>19050</xdr:rowOff>
                  </from>
                  <to>
                    <xdr:col>4</xdr:col>
                    <xdr:colOff>257175</xdr:colOff>
                    <xdr:row>8</xdr:row>
                    <xdr:rowOff>152400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8" id="{507B2C4C-E5BD-460A-A048-F084AE406EEC}">
            <xm:f>'Gen Info'!$K$17="Direct to Processor"</xm:f>
            <x14:dxf>
              <font>
                <color theme="0" tint="-0.499984740745262"/>
              </font>
              <fill>
                <patternFill>
                  <bgColor theme="0" tint="-0.34998626667073579"/>
                </patternFill>
              </fill>
            </x14:dxf>
          </x14:cfRule>
          <xm:sqref>C119:D119 C174:D174 B83:D118 B120:D126 B168:D173 B175:D177</xm:sqref>
        </x14:conditionalFormatting>
        <x14:conditionalFormatting xmlns:xm="http://schemas.microsoft.com/office/excel/2006/main">
          <x14:cfRule type="expression" priority="12" id="{58D04919-0DFA-4A36-8947-C1EE3430FABA}">
            <xm:f>'Gen Info'!$K$17="Direct to Processor"</xm:f>
            <x14:dxf>
              <font>
                <color theme="0" tint="-0.499984740745262"/>
              </font>
              <fill>
                <patternFill>
                  <bgColor theme="0" tint="-0.34998626667073579"/>
                </patternFill>
              </fill>
            </x14:dxf>
          </x14:cfRule>
          <xm:sqref>B119</xm:sqref>
        </x14:conditionalFormatting>
        <x14:conditionalFormatting xmlns:xm="http://schemas.microsoft.com/office/excel/2006/main">
          <x14:cfRule type="expression" priority="11" id="{E1C2FC9A-E4E4-4E94-BCB6-EA596BF907AE}">
            <xm:f>'Gen Info'!$K$17="Direct to Processor"</xm:f>
            <x14:dxf>
              <font>
                <color theme="0" tint="-0.499984740745262"/>
              </font>
              <fill>
                <patternFill>
                  <bgColor theme="0" tint="-0.34998626667073579"/>
                </patternFill>
              </fill>
            </x14:dxf>
          </x14:cfRule>
          <xm:sqref>B119</xm:sqref>
        </x14:conditionalFormatting>
        <x14:conditionalFormatting xmlns:xm="http://schemas.microsoft.com/office/excel/2006/main">
          <x14:cfRule type="expression" priority="8" id="{DE7FC66B-FB1F-4423-ADCA-FE54F014D8C4}">
            <xm:f>'Gen Info'!$K$17="Direct to Processor"</xm:f>
            <x14:dxf>
              <font>
                <color theme="0" tint="-0.499984740745262"/>
              </font>
              <fill>
                <patternFill>
                  <bgColor theme="0" tint="-0.34998626667073579"/>
                </patternFill>
              </fill>
            </x14:dxf>
          </x14:cfRule>
          <xm:sqref>B174</xm:sqref>
        </x14:conditionalFormatting>
      </x14:conditionalFormatting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8064A2"/>
  </sheetPr>
  <dimension ref="A1:T42"/>
  <sheetViews>
    <sheetView showGridLines="0" workbookViewId="0"/>
  </sheetViews>
  <sheetFormatPr defaultRowHeight="12.75" x14ac:dyDescent="0.2"/>
  <cols>
    <col min="1" max="1" width="0.85546875" customWidth="1"/>
    <col min="2" max="2" width="2.140625" customWidth="1"/>
    <col min="3" max="3" width="22.28515625" customWidth="1"/>
    <col min="4" max="5" width="10" customWidth="1"/>
    <col min="6" max="7" width="10.5703125" customWidth="1"/>
    <col min="8" max="8" width="12" bestFit="1" customWidth="1"/>
    <col min="10" max="10" width="9.28515625" style="663" bestFit="1" customWidth="1"/>
    <col min="11" max="11" width="9.28515625" bestFit="1" customWidth="1"/>
    <col min="12" max="12" width="9.140625" style="644" bestFit="1"/>
    <col min="13" max="13" width="7.5703125" style="644" customWidth="1"/>
    <col min="14" max="14" width="5.85546875" style="644" customWidth="1"/>
    <col min="15" max="15" width="9.5703125" style="644" bestFit="1" customWidth="1"/>
    <col min="16" max="16" width="9.140625" style="644"/>
    <col min="17" max="17" width="9.28515625" style="644" bestFit="1" customWidth="1"/>
  </cols>
  <sheetData>
    <row r="1" spans="1:20" ht="3.95" customHeight="1" x14ac:dyDescent="0.2">
      <c r="J1" s="644"/>
      <c r="K1" s="644"/>
    </row>
    <row r="2" spans="1:20" ht="23.25" x14ac:dyDescent="0.35">
      <c r="A2" s="1449" t="s">
        <v>325</v>
      </c>
      <c r="B2" s="1449"/>
      <c r="C2" s="1449"/>
      <c r="D2" s="1449"/>
      <c r="E2" s="1449"/>
      <c r="F2" s="1449"/>
      <c r="G2" s="1449"/>
      <c r="H2" s="1449"/>
      <c r="I2" s="1449"/>
      <c r="J2" s="664"/>
      <c r="K2" s="664"/>
      <c r="M2" s="602">
        <v>2</v>
      </c>
      <c r="N2" s="603" t="str">
        <f>INDEX(ScorecardGraphs,M2)</f>
        <v>1 Projected</v>
      </c>
    </row>
    <row r="3" spans="1:20" x14ac:dyDescent="0.2">
      <c r="A3" s="1450" t="s">
        <v>326</v>
      </c>
      <c r="B3" s="1450"/>
      <c r="C3" s="1450"/>
      <c r="D3" s="1450"/>
      <c r="E3" s="1450"/>
      <c r="F3" s="1450"/>
      <c r="G3" s="1450"/>
      <c r="H3" s="1450"/>
      <c r="I3" s="1450"/>
      <c r="J3" s="665"/>
      <c r="K3" s="665"/>
    </row>
    <row r="4" spans="1:20" x14ac:dyDescent="0.2">
      <c r="A4" s="634"/>
      <c r="B4" s="634"/>
      <c r="C4" s="634"/>
      <c r="D4" s="634"/>
      <c r="E4" s="634"/>
      <c r="F4" s="634"/>
      <c r="G4" s="634"/>
      <c r="H4" s="634"/>
      <c r="I4" s="634"/>
      <c r="J4" s="665"/>
      <c r="K4" s="665"/>
    </row>
    <row r="5" spans="1:20" x14ac:dyDescent="0.2">
      <c r="A5" s="634"/>
      <c r="B5" s="634"/>
      <c r="C5" s="634"/>
      <c r="D5" s="634"/>
      <c r="E5" s="634"/>
      <c r="F5" s="634"/>
      <c r="G5" s="634"/>
      <c r="H5" s="634"/>
      <c r="I5" s="634"/>
      <c r="J5" s="665"/>
      <c r="K5" s="665"/>
    </row>
    <row r="6" spans="1:20" ht="21" customHeight="1" x14ac:dyDescent="0.2">
      <c r="A6" s="634"/>
      <c r="B6" s="634"/>
      <c r="C6" s="634"/>
      <c r="D6" s="634"/>
      <c r="E6" s="634"/>
      <c r="F6" s="634"/>
      <c r="G6" s="634"/>
      <c r="H6" s="634"/>
      <c r="I6" s="634"/>
      <c r="J6" s="665"/>
      <c r="K6" s="665"/>
    </row>
    <row r="7" spans="1:20" x14ac:dyDescent="0.2">
      <c r="J7" s="644"/>
      <c r="K7" s="644"/>
    </row>
    <row r="8" spans="1:20" ht="26.45" customHeight="1" x14ac:dyDescent="0.2">
      <c r="F8" s="554" t="s">
        <v>341</v>
      </c>
      <c r="J8" s="644"/>
      <c r="K8" s="644"/>
    </row>
    <row r="9" spans="1:20" ht="6.75" customHeight="1" x14ac:dyDescent="0.2">
      <c r="J9" s="644"/>
      <c r="K9" s="644"/>
    </row>
    <row r="10" spans="1:20" ht="26.45" customHeight="1" x14ac:dyDescent="0.2">
      <c r="E10" s="554" t="s">
        <v>261</v>
      </c>
      <c r="J10" s="644"/>
      <c r="K10" s="644"/>
    </row>
    <row r="11" spans="1:20" x14ac:dyDescent="0.2">
      <c r="D11" s="1451">
        <f>Year1</f>
        <v>0</v>
      </c>
      <c r="E11" s="1447" t="str">
        <f>Year2</f>
        <v>1 Projected</v>
      </c>
      <c r="J11" s="644"/>
      <c r="K11" s="644"/>
    </row>
    <row r="12" spans="1:20" x14ac:dyDescent="0.2">
      <c r="B12" s="555" t="s">
        <v>327</v>
      </c>
      <c r="D12" s="1452"/>
      <c r="E12" s="1448"/>
      <c r="F12" s="603" t="s">
        <v>330</v>
      </c>
      <c r="G12" s="603" t="s">
        <v>340</v>
      </c>
      <c r="H12" s="603" t="s">
        <v>335</v>
      </c>
      <c r="I12" s="603" t="s">
        <v>336</v>
      </c>
      <c r="J12" s="603" t="s">
        <v>337</v>
      </c>
      <c r="K12" s="603" t="s">
        <v>338</v>
      </c>
      <c r="L12" s="603" t="s">
        <v>339</v>
      </c>
      <c r="M12" s="603"/>
      <c r="N12" s="603"/>
      <c r="O12" s="603"/>
      <c r="P12" s="603"/>
      <c r="Q12" s="603" t="s">
        <v>331</v>
      </c>
      <c r="R12" s="603" t="s">
        <v>332</v>
      </c>
      <c r="S12" s="603" t="s">
        <v>333</v>
      </c>
      <c r="T12" s="603" t="s">
        <v>334</v>
      </c>
    </row>
    <row r="13" spans="1:20" s="91" customFormat="1" ht="24.95" customHeight="1" x14ac:dyDescent="0.2">
      <c r="C13" s="91" t="s">
        <v>78</v>
      </c>
      <c r="D13" s="627">
        <f>RatioCurrentRatioCalc</f>
        <v>0</v>
      </c>
      <c r="E13" s="627">
        <f>IF(ISERROR(Year2BusAssetsCurrentProj/Year2BusLiabCurrentProj)=FALSE,Year2BusAssetsCurrentProj/Year2BusLiabCurrentProj,0)</f>
        <v>0</v>
      </c>
      <c r="F13" s="635">
        <f>IF(ScorecardGraphsChoice=Year1,D13,E13)</f>
        <v>0</v>
      </c>
      <c r="G13" s="635" t="str">
        <f>CONCATENATE(ROUND(IF(ScorecardGraphsChoice=Year1,D13,E13),2),":1")</f>
        <v>0:1</v>
      </c>
      <c r="H13" s="595">
        <v>0</v>
      </c>
      <c r="I13" s="595">
        <v>1.3</v>
      </c>
      <c r="J13" s="595">
        <f>AVERAGE(I13,K13)</f>
        <v>1.65</v>
      </c>
      <c r="K13" s="595">
        <v>2</v>
      </c>
      <c r="L13" s="595">
        <v>2.1</v>
      </c>
      <c r="M13" s="595"/>
      <c r="N13" s="595"/>
      <c r="O13" s="635">
        <f>F13</f>
        <v>0</v>
      </c>
      <c r="P13" s="595" t="str">
        <f>C13</f>
        <v>Current Ratio</v>
      </c>
      <c r="Q13" s="595">
        <f>IF(F13&gt;L13,R13+0.7,(R13-0)*(F13/L13))-0.7</f>
        <v>-0.7</v>
      </c>
      <c r="R13" s="595">
        <v>2.7</v>
      </c>
      <c r="S13" s="595">
        <f>IF(Q13&gt;0,(Q13-(T13/2)),0)</f>
        <v>0</v>
      </c>
      <c r="T13" s="595">
        <v>0.08</v>
      </c>
    </row>
    <row r="14" spans="1:20" s="91" customFormat="1" ht="24.95" customHeight="1" x14ac:dyDescent="0.2">
      <c r="C14" s="91" t="s">
        <v>357</v>
      </c>
      <c r="D14" s="628">
        <f>RatioWorkingCapCalc</f>
        <v>0</v>
      </c>
      <c r="E14" s="628">
        <f>Year2BusAssetsCurrentProj-Year2BusLiabCurrentProj</f>
        <v>5000</v>
      </c>
      <c r="F14" s="635">
        <f>IF(ScorecardGraphsChoice=Year1,D14,E14)</f>
        <v>5000</v>
      </c>
      <c r="G14" s="635"/>
      <c r="H14" s="595"/>
      <c r="I14" s="595"/>
      <c r="J14" s="595"/>
      <c r="K14" s="595"/>
      <c r="L14" s="595">
        <v>3.3</v>
      </c>
      <c r="M14" s="595"/>
      <c r="N14" s="595"/>
      <c r="O14" s="635">
        <f t="shared" ref="O14:O36" si="0">F14</f>
        <v>5000</v>
      </c>
      <c r="P14" s="595" t="str">
        <f>C14</f>
        <v>Working Capital (WC)</v>
      </c>
      <c r="Q14" s="595">
        <f>IF(F14&gt;L14,8.836364,R14*(F14/L14))</f>
        <v>8.8363639999999997</v>
      </c>
      <c r="R14" s="595">
        <v>10</v>
      </c>
      <c r="S14" s="595">
        <f>IF(Q14&gt;0,(Q14-(T14/2)),0)</f>
        <v>8.6863639999999993</v>
      </c>
      <c r="T14" s="595">
        <v>0.3</v>
      </c>
    </row>
    <row r="15" spans="1:20" s="91" customFormat="1" ht="24.95" customHeight="1" x14ac:dyDescent="0.2">
      <c r="C15" s="91" t="s">
        <v>358</v>
      </c>
      <c r="D15" s="629">
        <f>IF(ISERROR(D14/(IF(HowSell="Direct to Processor",'Final Income and Cash Flows'!C30,'Final Income and Cash Flows'!C98+'Final Income and Cash Flows'!C30)))=FALSE,(D14/(IF(HowSell="Direct to Processor",'Final Income and Cash Flows'!C30,'Final Income and Cash Flows'!C98+'Final Income and Cash Flows'!C30))),0)</f>
        <v>0</v>
      </c>
      <c r="E15" s="629">
        <f>IF(ISERROR(E14/(IF(HowSell="Direct to Processor",'Final Income and Cash Flows'!D30,'Final Income and Cash Flows'!D98+'Final Income and Cash Flows'!D30)))=FALSE,(E14/(IF(HowSell="Direct to Processor",'Final Income and Cash Flows'!D30,'Final Income and Cash Flows'!D98+'Final Income and Cash Flows'!D30))),0)</f>
        <v>0</v>
      </c>
      <c r="F15" s="636">
        <f>IF(ScorecardGraphsChoice=Year1,D15,E15)</f>
        <v>0</v>
      </c>
      <c r="G15" s="636">
        <f>F15</f>
        <v>0</v>
      </c>
      <c r="H15" s="595">
        <v>0</v>
      </c>
      <c r="I15" s="637">
        <v>0.1</v>
      </c>
      <c r="J15" s="636">
        <f>AVERAGE(I15,K15)</f>
        <v>0.2</v>
      </c>
      <c r="K15" s="637">
        <v>0.3</v>
      </c>
      <c r="L15" s="637">
        <v>0.45</v>
      </c>
      <c r="M15" s="595"/>
      <c r="N15" s="595"/>
      <c r="O15" s="635">
        <f t="shared" si="0"/>
        <v>0</v>
      </c>
      <c r="P15" s="595" t="str">
        <f>C15</f>
        <v>WC to Gross Revenue</v>
      </c>
      <c r="Q15" s="595">
        <f>IF(F15&gt;=L15,R15,R15*(F15/L15))</f>
        <v>0</v>
      </c>
      <c r="R15" s="595">
        <v>9</v>
      </c>
      <c r="S15" s="595">
        <f>IF(Q15&gt;0,(Q15-(T15/2)),0)</f>
        <v>0</v>
      </c>
      <c r="T15" s="595">
        <v>0.27</v>
      </c>
    </row>
    <row r="16" spans="1:20" x14ac:dyDescent="0.2">
      <c r="F16" s="603"/>
      <c r="G16" s="603"/>
      <c r="H16" s="603"/>
      <c r="I16" s="603"/>
      <c r="J16" s="603"/>
      <c r="K16" s="603"/>
      <c r="L16" s="603"/>
      <c r="M16" s="603"/>
      <c r="N16" s="603"/>
      <c r="O16" s="635">
        <f t="shared" si="0"/>
        <v>0</v>
      </c>
      <c r="P16" s="603"/>
      <c r="Q16" s="603"/>
      <c r="R16" s="603"/>
      <c r="S16" s="603"/>
      <c r="T16" s="603"/>
    </row>
    <row r="17" spans="2:20" x14ac:dyDescent="0.2">
      <c r="B17" s="555" t="s">
        <v>342</v>
      </c>
      <c r="F17" s="603" t="s">
        <v>330</v>
      </c>
      <c r="G17" s="603" t="s">
        <v>340</v>
      </c>
      <c r="H17" s="603" t="s">
        <v>335</v>
      </c>
      <c r="I17" s="603" t="s">
        <v>336</v>
      </c>
      <c r="J17" s="603" t="s">
        <v>337</v>
      </c>
      <c r="K17" s="603" t="s">
        <v>338</v>
      </c>
      <c r="L17" s="603" t="s">
        <v>339</v>
      </c>
      <c r="M17" s="603"/>
      <c r="N17" s="603"/>
      <c r="O17" s="635" t="str">
        <f t="shared" si="0"/>
        <v>toGraph</v>
      </c>
      <c r="P17" s="603"/>
      <c r="Q17" s="603" t="s">
        <v>331</v>
      </c>
      <c r="R17" s="603" t="s">
        <v>332</v>
      </c>
      <c r="S17" s="603" t="s">
        <v>333</v>
      </c>
      <c r="T17" s="603" t="s">
        <v>334</v>
      </c>
    </row>
    <row r="18" spans="2:20" s="91" customFormat="1" ht="24.95" customHeight="1" x14ac:dyDescent="0.2">
      <c r="C18" s="630" t="s">
        <v>343</v>
      </c>
      <c r="D18" s="629">
        <f>RatioDtoACalc</f>
        <v>0</v>
      </c>
      <c r="E18" s="629">
        <f>IF(ISERROR(Year2BusLiabProj/Year2BusAssetsProj)=FALSE,(Year2BusLiabProj/Year2BusAssetsProj),0)</f>
        <v>0</v>
      </c>
      <c r="F18" s="636">
        <f>IF(ScorecardGraphsChoice=Year1,D18,E18)*(J18*2)</f>
        <v>0</v>
      </c>
      <c r="G18" s="636">
        <f>IF(ScorecardGraphsChoice=Year1,D18,E18)</f>
        <v>0</v>
      </c>
      <c r="H18" s="636">
        <f t="shared" ref="H18" si="1">I18-((J18-I18))</f>
        <v>0.75</v>
      </c>
      <c r="I18" s="636">
        <v>0.6</v>
      </c>
      <c r="J18" s="636">
        <f>AVERAGE(I18,K18)</f>
        <v>0.44999999999999996</v>
      </c>
      <c r="K18" s="636">
        <v>0.3</v>
      </c>
      <c r="L18" s="636">
        <f t="shared" ref="L18" si="2">K18+(K18-J18)</f>
        <v>0.15000000000000002</v>
      </c>
      <c r="M18" s="595"/>
      <c r="N18" s="595"/>
      <c r="O18" s="635">
        <f t="shared" si="0"/>
        <v>0</v>
      </c>
      <c r="P18" s="595" t="str">
        <f>C18</f>
        <v>Debt-to-Asset</v>
      </c>
      <c r="Q18" s="595">
        <f>IF(F18&lt;=L18,R18,(R18/(J18*2))*(L18/F18))/(J18*2.5)</f>
        <v>8.8888888888888893</v>
      </c>
      <c r="R18" s="595">
        <v>10</v>
      </c>
      <c r="S18" s="595">
        <f t="shared" ref="S18:S19" si="3">IF(Q18&gt;0,(Q18-(T18/2)),0)</f>
        <v>8.7538888888888895</v>
      </c>
      <c r="T18" s="595">
        <v>0.27</v>
      </c>
    </row>
    <row r="19" spans="2:20" s="91" customFormat="1" ht="24.95" customHeight="1" x14ac:dyDescent="0.2">
      <c r="C19" s="630" t="s">
        <v>344</v>
      </c>
      <c r="D19" s="629">
        <f>1-D18</f>
        <v>1</v>
      </c>
      <c r="E19" s="629">
        <f>1-E18</f>
        <v>1</v>
      </c>
      <c r="F19" s="636">
        <f>IF(ScorecardGraphsChoice=Year1,D19,E19)/(J19*2)</f>
        <v>0.90909090909090906</v>
      </c>
      <c r="G19" s="636">
        <f>IF(ScorecardGraphsChoice=Year1,D19,E19)</f>
        <v>1</v>
      </c>
      <c r="H19" s="636">
        <f t="shared" ref="H19" si="4">I19-((J19-I19))</f>
        <v>0.25</v>
      </c>
      <c r="I19" s="636">
        <v>0.4</v>
      </c>
      <c r="J19" s="636">
        <f t="shared" ref="J19:J36" si="5">AVERAGE(I19,K19)</f>
        <v>0.55000000000000004</v>
      </c>
      <c r="K19" s="636">
        <v>0.7</v>
      </c>
      <c r="L19" s="636">
        <f t="shared" ref="L19:L20" si="6">K19+(K19-J19)</f>
        <v>0.84999999999999987</v>
      </c>
      <c r="M19" s="595"/>
      <c r="N19" s="595"/>
      <c r="O19" s="635">
        <f t="shared" si="0"/>
        <v>0.90909090909090906</v>
      </c>
      <c r="P19" s="595" t="str">
        <f t="shared" ref="P19:P36" si="7">C19</f>
        <v>Equity-to-Asset</v>
      </c>
      <c r="Q19" s="595">
        <f>IF(F19&gt;=L19,R19,(R19/(J19*2))*(F19/L19))/(J19*2)</f>
        <v>9.0909090909090899</v>
      </c>
      <c r="R19" s="595">
        <v>10</v>
      </c>
      <c r="S19" s="595">
        <f t="shared" si="3"/>
        <v>8.9559090909090902</v>
      </c>
      <c r="T19" s="595">
        <v>0.27</v>
      </c>
    </row>
    <row r="20" spans="2:20" s="91" customFormat="1" ht="24.95" customHeight="1" x14ac:dyDescent="0.2">
      <c r="C20" s="630" t="s">
        <v>81</v>
      </c>
      <c r="D20" s="631">
        <f>RatioDtoECalc</f>
        <v>0</v>
      </c>
      <c r="E20" s="631">
        <f>IF(ISERROR(Year2BusLiabProj/Year2NetWorthProj)=FALSE,(Year2BusLiabProj/Year2NetWorthProj),0)</f>
        <v>0</v>
      </c>
      <c r="F20" s="635">
        <f>IF(ScorecardGraphsChoice=Year1,D20,E20)*(J20*2)</f>
        <v>0</v>
      </c>
      <c r="G20" s="635" t="str">
        <f>CONCATENATE(ROUND(IF(ScorecardGraphsChoice=Year1,D20,E20),2),":1")</f>
        <v>0:1</v>
      </c>
      <c r="H20" s="595">
        <v>2.2000000000000002</v>
      </c>
      <c r="I20" s="595">
        <v>1.5</v>
      </c>
      <c r="J20" s="595">
        <f t="shared" si="5"/>
        <v>0.96499999999999997</v>
      </c>
      <c r="K20" s="595">
        <v>0.43</v>
      </c>
      <c r="L20" s="595">
        <f t="shared" si="6"/>
        <v>-0.10499999999999993</v>
      </c>
      <c r="M20" s="595"/>
      <c r="N20" s="595"/>
      <c r="O20" s="635">
        <f t="shared" si="0"/>
        <v>0</v>
      </c>
      <c r="P20" s="595" t="str">
        <f t="shared" si="7"/>
        <v>Debt-to-Equity</v>
      </c>
      <c r="Q20" s="595">
        <f>IF(F20&gt;=L20,R20,(R20/(J20*2))*(F20/L20))*(J20/1)</f>
        <v>9.65</v>
      </c>
      <c r="R20" s="595">
        <v>10</v>
      </c>
      <c r="S20" s="595">
        <f>ABS(IF(Q20&gt;0,(Q20-(T20/2)),0))</f>
        <v>9.5150000000000006</v>
      </c>
      <c r="T20" s="595">
        <v>0.27</v>
      </c>
    </row>
    <row r="21" spans="2:20" x14ac:dyDescent="0.2">
      <c r="F21" s="638"/>
      <c r="G21" s="638"/>
      <c r="H21" s="603"/>
      <c r="I21" s="603"/>
      <c r="J21" s="603"/>
      <c r="K21" s="603"/>
      <c r="L21" s="603"/>
      <c r="M21" s="603"/>
      <c r="N21" s="603"/>
      <c r="O21" s="635">
        <f t="shared" si="0"/>
        <v>0</v>
      </c>
      <c r="P21" s="603"/>
      <c r="Q21" s="603"/>
      <c r="R21" s="603"/>
      <c r="S21" s="603"/>
      <c r="T21" s="603"/>
    </row>
    <row r="22" spans="2:20" x14ac:dyDescent="0.2">
      <c r="B22" s="555" t="s">
        <v>345</v>
      </c>
      <c r="F22" s="603" t="s">
        <v>330</v>
      </c>
      <c r="G22" s="603" t="s">
        <v>340</v>
      </c>
      <c r="H22" s="603" t="s">
        <v>335</v>
      </c>
      <c r="I22" s="603" t="s">
        <v>336</v>
      </c>
      <c r="J22" s="603" t="s">
        <v>337</v>
      </c>
      <c r="K22" s="603" t="s">
        <v>338</v>
      </c>
      <c r="L22" s="603" t="s">
        <v>339</v>
      </c>
      <c r="M22" s="603"/>
      <c r="N22" s="603"/>
      <c r="O22" s="635" t="str">
        <f t="shared" si="0"/>
        <v>toGraph</v>
      </c>
      <c r="P22" s="603"/>
      <c r="Q22" s="603" t="s">
        <v>331</v>
      </c>
      <c r="R22" s="603" t="s">
        <v>332</v>
      </c>
      <c r="S22" s="603" t="s">
        <v>333</v>
      </c>
      <c r="T22" s="603" t="s">
        <v>334</v>
      </c>
    </row>
    <row r="23" spans="2:20" s="91" customFormat="1" ht="24.95" customHeight="1" x14ac:dyDescent="0.2">
      <c r="C23" s="643" t="str">
        <f>IF(HowSell="Direct to Processor","Net Income","Net Income (Ag &amp; Direct Marketing)")</f>
        <v>Net Income</v>
      </c>
      <c r="D23" s="628">
        <f>IF(HowSell="Direct to Processor",NetIncomeAgYear1,NetIncomeAgYear1+NetIncomeDMYear1)</f>
        <v>0</v>
      </c>
      <c r="E23" s="632">
        <f>IF(HowSell="Direct to Processor",NetIncomeAgYear2,NetIncomeAgYear2+NetIncomeDMYear2)</f>
        <v>0</v>
      </c>
      <c r="F23" s="635">
        <f>IF(ScorecardGraphsChoice=Year1,D23,E23)</f>
        <v>0</v>
      </c>
      <c r="G23" s="635">
        <f>F23</f>
        <v>0</v>
      </c>
      <c r="H23" s="595"/>
      <c r="I23" s="595"/>
      <c r="J23" s="595"/>
      <c r="K23" s="595"/>
      <c r="L23" s="595"/>
      <c r="M23" s="595"/>
      <c r="N23" s="595"/>
      <c r="O23" s="635">
        <f t="shared" si="0"/>
        <v>0</v>
      </c>
      <c r="P23" s="595" t="str">
        <f t="shared" si="7"/>
        <v>Net Income</v>
      </c>
      <c r="Q23" s="595">
        <f t="shared" ref="Q23:Q25" si="8">IF(F23&gt;=L23,R23,R23*(F23/L23))</f>
        <v>10</v>
      </c>
      <c r="R23" s="595">
        <v>10</v>
      </c>
      <c r="S23" s="595">
        <f t="shared" ref="S23:S26" si="9">IF(Q23&gt;0,(Q23-(T23/2)),0)</f>
        <v>9.8650000000000002</v>
      </c>
      <c r="T23" s="595">
        <v>0.27</v>
      </c>
    </row>
    <row r="24" spans="2:20" s="91" customFormat="1" ht="24.95" customHeight="1" x14ac:dyDescent="0.2">
      <c r="C24" s="630" t="s">
        <v>346</v>
      </c>
      <c r="D24" s="633">
        <f>IF(ISERROR(IF(HowSell="Direct to Processor",(NetIncomeAgYear1+ACFFCInterestTot-ACFValueLaborTot),(NetIncomeAgYear1+NetIncomeDMYear1+ACFFCInterestTot+ACFDMFCIntTot-ACFValueLaborTot-ACFDMValueLaborTot))/Year1BusAssets)=FALSE,(IF(HowSell="Direct to Processor",(NetIncomeAgYear1+ACFFCInterestTot-ACFValueLaborTot),(NetIncomeAgYear1+NetIncomeDMYear1+ACFFCInterestTot+ACFDMFCIntTot-ACFValueLaborTot-ACFDMValueLaborTot))/Year1BusAssets),0)</f>
        <v>0</v>
      </c>
      <c r="E24" s="633">
        <f>IF(ISERROR(IF(HowSell="Direct to Processor",(NetIncomeAgYear2+MCFFCInterestTot-MCFValueLaborTot),(NetIncomeAgYear2+NetIncomeDMYear2+MCFFCInterestTot+MCFDMFCIntTot-MCFValueLaborTot-MCFDMValueLaborTot))/(AVERAGE(Year1BusAssets,Year2BusAssetsProj)))=FALSE,(IF(HowSell="Direct to Processor",(NetIncomeAgYear2+MCFFCInterestTot-MCFValueLaborTot),(NetIncomeAgYear2+NetIncomeDMYear2+MCFFCInterestTot+MCFDMFCIntTot-MCFValueLaborTot-MCFDMValueLaborTot))/(AVERAGE(Year1BusAssets,Year2BusAssetsProj))),0)</f>
        <v>0</v>
      </c>
      <c r="F24" s="639">
        <f>IF(ScorecardGraphsChoice=Year1,D24,E24)</f>
        <v>0</v>
      </c>
      <c r="G24" s="639">
        <f>F24</f>
        <v>0</v>
      </c>
      <c r="H24" s="636">
        <f t="shared" ref="H24:H26" si="10">I24-((J24-I24))</f>
        <v>2.0000000000000004E-2</v>
      </c>
      <c r="I24" s="636">
        <v>0.04</v>
      </c>
      <c r="J24" s="636">
        <f t="shared" si="5"/>
        <v>0.06</v>
      </c>
      <c r="K24" s="636">
        <v>0.08</v>
      </c>
      <c r="L24" s="636">
        <v>0.12</v>
      </c>
      <c r="M24" s="595"/>
      <c r="N24" s="595"/>
      <c r="O24" s="635">
        <f t="shared" si="0"/>
        <v>0</v>
      </c>
      <c r="P24" s="595" t="str">
        <f t="shared" si="7"/>
        <v>Return on Assets</v>
      </c>
      <c r="Q24" s="595">
        <f t="shared" si="8"/>
        <v>0</v>
      </c>
      <c r="R24" s="595">
        <v>10</v>
      </c>
      <c r="S24" s="595">
        <f t="shared" si="9"/>
        <v>0</v>
      </c>
      <c r="T24" s="595">
        <v>0.27</v>
      </c>
    </row>
    <row r="25" spans="2:20" s="91" customFormat="1" ht="24.95" customHeight="1" x14ac:dyDescent="0.2">
      <c r="C25" s="630" t="s">
        <v>347</v>
      </c>
      <c r="D25" s="633">
        <f>IF(ISERROR(IF(HowSell="Direct to Processor",(NetIncomeAgYear1-ACFValueLaborTot),(NetIncomeAgYear1+NetIncomeDMYear1-ACFValueLaborTot-ACFDMValueLaborTot))/Year1NetWorth)=FALSE,(IF(HowSell="Direct to Processor",(NetIncomeAgYear1-ACFValueLaborTot),(NetIncomeAgYear1+NetIncomeDMYear1-ACFValueLaborTot-ACFDMValueLaborTot))/Year1NetWorth),0)</f>
        <v>0</v>
      </c>
      <c r="E25" s="633">
        <f>IF(ISERROR(IF(HowSell="Direct to Processor",(NetIncomeAgYear2-MCFValueLaborTot),(NetIncomeAgYear2+NetIncomeDMYear2-MCFValueLaborTot-MCFDMValueLaborTot))/(AVERAGE(Year1NetWorth,Year2NetWorthProj)))=FALSE,(IF(HowSell="Direct to Processor",(NetIncomeAgYear2-MCFValueLaborTot),(NetIncomeAgYear2+NetIncomeDMYear2-MCFValueLaborTot-MCFDMValueLaborTot))/(AVERAGE(Year1NetWorth,Year2NetWorthProj))),0)</f>
        <v>0</v>
      </c>
      <c r="F25" s="639">
        <f>IF(ScorecardGraphsChoice=Year1,D25,E25)</f>
        <v>0</v>
      </c>
      <c r="G25" s="639">
        <f>F25</f>
        <v>0</v>
      </c>
      <c r="H25" s="636">
        <f t="shared" si="10"/>
        <v>-5.0000000000000044E-3</v>
      </c>
      <c r="I25" s="636">
        <v>0.03</v>
      </c>
      <c r="J25" s="636">
        <f t="shared" si="5"/>
        <v>6.5000000000000002E-2</v>
      </c>
      <c r="K25" s="636">
        <v>0.1</v>
      </c>
      <c r="L25" s="636">
        <f t="shared" ref="L25" si="11">K25+(K25-J25)</f>
        <v>0.13500000000000001</v>
      </c>
      <c r="M25" s="595"/>
      <c r="N25" s="595"/>
      <c r="O25" s="635">
        <f t="shared" si="0"/>
        <v>0</v>
      </c>
      <c r="P25" s="595" t="str">
        <f t="shared" si="7"/>
        <v>Return on Equity</v>
      </c>
      <c r="Q25" s="595">
        <f t="shared" si="8"/>
        <v>0</v>
      </c>
      <c r="R25" s="595">
        <v>10</v>
      </c>
      <c r="S25" s="595">
        <f t="shared" si="9"/>
        <v>0</v>
      </c>
      <c r="T25" s="595">
        <v>0.27</v>
      </c>
    </row>
    <row r="26" spans="2:20" s="91" customFormat="1" ht="24.95" customHeight="1" x14ac:dyDescent="0.2">
      <c r="C26" s="630" t="s">
        <v>348</v>
      </c>
      <c r="D26" s="633">
        <f>IF(ISERROR(IF(HowSell="Direct to Processor",(NetIncomeAgYear1+ACFFCInterestTot-ACFValueLaborTot),(NetIncomeAgYear1+NetIncomeDMYear1+ACFFCInterestTot+ACFDMFCIntTot-ACFValueLaborTot-ACFDMValueLaborTot))/(IF(HowSell="Direct to Processor",(Year1GCFI-ACFVCFeederLivestockTot-ACFVCPurchFeedTot),(Year1GCFI-ACFVCFeederLivestockTot-ACFVCPurchFeedTot+Year1GCIDM))))=FALSE,(IF(HowSell="Direct to Processor",(NetIncomeAgYear1+ACFFCInterestTot-ACFValueLaborTot),(NetIncomeAgYear1+NetIncomeDMYear1+ACFFCInterestTot+ACFDMFCIntTot-ACFValueLaborTot-ACFDMValueLaborTot))/(IF(HowSell="Direct to Processor",(Year1GCFI-ACFVCFeederLivestockTot-ACFVCPurchFeedTot),(Year1GCFI-ACFVCFeederLivestockTot-ACFVCPurchFeedTot+Year1GCIDM)))),0)</f>
        <v>0</v>
      </c>
      <c r="E26" s="629">
        <f>IF(ISERROR(IF(HowSell="Direct to Processor",(NetIncomeAgYear2+MCFFCInterestTot-MCFValueLaborTot),(NetIncomeAgYear2+NetIncomeDMYear2+MCFFCInterestTot+MCFDMFCIntTot-MCFValueLaborTot-MCFDMValueLaborTot))/(IF(HowSell="Direct to Processor",(Year2GCFIProj-MCFVCFeederLivestockTot-MCFVCPurchFeedTot),(Year2GCFIProj-MCFVCFeederLivestockTot-MCFVCPurchFeedTot+Year2GCIDMProj))))=FALSE,(IF(HowSell="Direct to Processor",(NetIncomeAgYear2+MCFFCInterestTot-MCFValueLaborTot),(NetIncomeAgYear2+NetIncomeDMYear2+MCFFCInterestTot+MCFDMFCIntTot-MCFValueLaborTot-MCFDMValueLaborTot))/(IF(HowSell="Direct to Processor",(Year2GCFIProj-MCFVCFeederLivestockTot-MCFVCPurchFeedTot),(Year2GCFIProj-MCFVCFeederLivestockTot-MCFVCPurchFeedTot+Year2GCIDMProj)))),0)</f>
        <v>0</v>
      </c>
      <c r="F26" s="639">
        <f>IF(ScorecardGraphsChoice=Year1,D26,E26)</f>
        <v>0</v>
      </c>
      <c r="G26" s="639">
        <f>F26</f>
        <v>0</v>
      </c>
      <c r="H26" s="636">
        <f t="shared" si="10"/>
        <v>9.9999999999999978E-2</v>
      </c>
      <c r="I26" s="636">
        <v>0.15</v>
      </c>
      <c r="J26" s="636">
        <f t="shared" si="5"/>
        <v>0.2</v>
      </c>
      <c r="K26" s="636">
        <v>0.25</v>
      </c>
      <c r="L26" s="636">
        <v>0.3</v>
      </c>
      <c r="M26" s="666">
        <f>F26</f>
        <v>0</v>
      </c>
      <c r="N26" s="595"/>
      <c r="O26" s="635">
        <f t="shared" si="0"/>
        <v>0</v>
      </c>
      <c r="P26" s="595" t="str">
        <f t="shared" si="7"/>
        <v>Operating Profit Margin</v>
      </c>
      <c r="Q26" s="595">
        <f>IF(F26&gt;=L26,R26,IF(F26&gt;J26,(((R26*(F26/L26))*0.08)),(R26*(F26/L26))*0.066)*10)</f>
        <v>0</v>
      </c>
      <c r="R26" s="595">
        <v>10</v>
      </c>
      <c r="S26" s="595">
        <f t="shared" si="9"/>
        <v>0</v>
      </c>
      <c r="T26" s="595">
        <v>0.27</v>
      </c>
    </row>
    <row r="27" spans="2:20" x14ac:dyDescent="0.2">
      <c r="F27" s="638"/>
      <c r="G27" s="638"/>
      <c r="H27" s="603"/>
      <c r="I27" s="603"/>
      <c r="J27" s="603"/>
      <c r="K27" s="603"/>
      <c r="L27" s="603"/>
      <c r="M27" s="603"/>
      <c r="N27" s="603"/>
      <c r="O27" s="635">
        <f t="shared" si="0"/>
        <v>0</v>
      </c>
      <c r="P27" s="603"/>
      <c r="Q27" s="603"/>
      <c r="R27" s="603"/>
      <c r="S27" s="603"/>
      <c r="T27" s="603"/>
    </row>
    <row r="28" spans="2:20" x14ac:dyDescent="0.2">
      <c r="B28" s="555" t="s">
        <v>349</v>
      </c>
      <c r="F28" s="603" t="s">
        <v>330</v>
      </c>
      <c r="G28" s="603" t="s">
        <v>340</v>
      </c>
      <c r="H28" s="603" t="s">
        <v>335</v>
      </c>
      <c r="I28" s="603" t="s">
        <v>336</v>
      </c>
      <c r="J28" s="603" t="s">
        <v>337</v>
      </c>
      <c r="K28" s="603" t="s">
        <v>338</v>
      </c>
      <c r="L28" s="603" t="s">
        <v>339</v>
      </c>
      <c r="M28" s="603"/>
      <c r="N28" s="603"/>
      <c r="O28" s="635" t="str">
        <f t="shared" si="0"/>
        <v>toGraph</v>
      </c>
      <c r="P28" s="603"/>
      <c r="Q28" s="603" t="s">
        <v>331</v>
      </c>
      <c r="R28" s="603" t="s">
        <v>332</v>
      </c>
      <c r="S28" s="603" t="s">
        <v>333</v>
      </c>
      <c r="T28" s="603" t="s">
        <v>334</v>
      </c>
    </row>
    <row r="29" spans="2:20" s="91" customFormat="1" ht="24.95" customHeight="1" x14ac:dyDescent="0.2">
      <c r="C29" s="630" t="s">
        <v>350</v>
      </c>
      <c r="D29" s="627">
        <f>IF(ISERROR(IF(HowSell="Direct to Processor",(NetIncomeAgYear1+'Final Income and Cash Flows'!C65+Year1PersIncome-Year1PersOutflows+'Loans to Cash Flows Wkst'!$E$15)/Year1TermDebtPayments,(NetIncomeAgYear1+'Final Income and Cash Flows'!C65+Year1PersIncome-Year1PersOutflows+'Loans to Cash Flows Wkst'!$E$15+NetIncomeDMYear1+'Final Income and Cash Flows'!C118+'Loans to Cash Flows Wkst'!$E$31)/Year1TermDebtPayments))=FALSE,(IF(HowSell="Direct to Processor",(NetIncomeAgYear1+'Final Income and Cash Flows'!C65+Year1PersIncome-Year1PersOutflows+'Loans to Cash Flows Wkst'!$E$15)/Year1TermDebtPayments,(NetIncomeAgYear1+'Final Income and Cash Flows'!C65+Year1PersIncome-Year1PersOutflows+'Loans to Cash Flows Wkst'!$E$15+NetIncomeDMYear1+'Final Income and Cash Flows'!C118+'Loans to Cash Flows Wkst'!$E$31)/Year1TermDebtPayments)),0)</f>
        <v>0</v>
      </c>
      <c r="E29" s="627">
        <f>IF(ISERROR(IF(HowSell="Direct to Processor",(NetIncomeAgYear2+'Final Income and Cash Flows'!D65+Year2PersIncomeProj-Year2PersOutflowsProj+'Loans to Cash Flows Wkst'!$E$15)/Year2TermDebtPaymentsProj,(NetIncomeAgYear2+'Final Income and Cash Flows'!D65+Year2PersIncomeProj-Year2PersOutflowsProj+'Loans to Cash Flows Wkst'!$E$15+NetIncomeDMYear2+'Final Income and Cash Flows'!D118+'Loans to Cash Flows Wkst'!$E$31)/Year2TermDebtPaymentsProj))=FALSE,(IF(HowSell="Direct to Processor",(NetIncomeAgYear2+'Final Income and Cash Flows'!D65+Year2PersIncomeProj-Year2PersOutflowsProj+'Loans to Cash Flows Wkst'!$E$15)/Year2TermDebtPaymentsProj,(NetIncomeAgYear2+'Final Income and Cash Flows'!D65+Year2PersIncomeProj-Year2PersOutflowsProj+'Loans to Cash Flows Wkst'!$E$15+NetIncomeDMYear2+'Final Income and Cash Flows'!D118+'Loans to Cash Flows Wkst'!$E$31)/Year2TermDebtPaymentsProj)),0)</f>
        <v>0</v>
      </c>
      <c r="F29" s="635">
        <f>IF(ScorecardGraphsChoice=Year1,D29,E29)</f>
        <v>0</v>
      </c>
      <c r="G29" s="635" t="str">
        <f>CONCATENATE(ROUND(IF(ScorecardGraphsChoice=Year1,D29,E29),2),":1")</f>
        <v>0:1</v>
      </c>
      <c r="H29" s="595">
        <v>0</v>
      </c>
      <c r="I29" s="595">
        <v>1.25</v>
      </c>
      <c r="J29" s="595">
        <f t="shared" si="5"/>
        <v>1.5</v>
      </c>
      <c r="K29" s="595">
        <v>1.75</v>
      </c>
      <c r="L29" s="595">
        <v>3</v>
      </c>
      <c r="M29" s="595"/>
      <c r="N29" s="595"/>
      <c r="O29" s="635">
        <f t="shared" si="0"/>
        <v>0</v>
      </c>
      <c r="P29" s="595" t="str">
        <f t="shared" si="7"/>
        <v>Term Debt Coverage Ratio</v>
      </c>
      <c r="Q29" s="595">
        <f>IF(F29&gt;=L29,R29,R29*((F29/L29)/1.5))</f>
        <v>0</v>
      </c>
      <c r="R29" s="595">
        <v>10</v>
      </c>
      <c r="S29" s="595">
        <f>IF(Q29&gt;0,(Q29-(T29/2)),0)</f>
        <v>0</v>
      </c>
      <c r="T29" s="595">
        <v>0.27</v>
      </c>
    </row>
    <row r="30" spans="2:20" x14ac:dyDescent="0.2">
      <c r="F30" s="638"/>
      <c r="G30" s="638"/>
      <c r="H30" s="603"/>
      <c r="I30" s="603"/>
      <c r="J30" s="603"/>
      <c r="K30" s="603"/>
      <c r="L30" s="603"/>
      <c r="M30" s="603"/>
      <c r="N30" s="603"/>
      <c r="O30" s="635">
        <f t="shared" si="0"/>
        <v>0</v>
      </c>
      <c r="P30" s="603"/>
      <c r="Q30" s="603"/>
      <c r="R30" s="603"/>
      <c r="S30" s="603"/>
      <c r="T30" s="603"/>
    </row>
    <row r="31" spans="2:20" x14ac:dyDescent="0.2">
      <c r="B31" s="555" t="s">
        <v>351</v>
      </c>
      <c r="F31" s="603" t="s">
        <v>330</v>
      </c>
      <c r="G31" s="603" t="s">
        <v>340</v>
      </c>
      <c r="H31" s="603" t="s">
        <v>335</v>
      </c>
      <c r="I31" s="603" t="s">
        <v>336</v>
      </c>
      <c r="J31" s="603" t="s">
        <v>337</v>
      </c>
      <c r="K31" s="603" t="s">
        <v>338</v>
      </c>
      <c r="L31" s="603" t="s">
        <v>339</v>
      </c>
      <c r="M31" s="603"/>
      <c r="N31" s="603"/>
      <c r="O31" s="635" t="str">
        <f t="shared" si="0"/>
        <v>toGraph</v>
      </c>
      <c r="P31" s="603"/>
      <c r="Q31" s="603" t="s">
        <v>331</v>
      </c>
      <c r="R31" s="603" t="s">
        <v>332</v>
      </c>
      <c r="S31" s="603" t="s">
        <v>333</v>
      </c>
      <c r="T31" s="603" t="s">
        <v>334</v>
      </c>
    </row>
    <row r="32" spans="2:20" s="91" customFormat="1" ht="24.95" customHeight="1" x14ac:dyDescent="0.2">
      <c r="C32" s="630" t="s">
        <v>352</v>
      </c>
      <c r="D32" s="633">
        <f>IF(ISERROR(Year1ValueFarmProd/(AVERAGE(Year1BusAssets)))=FALSE,(Year1ValueFarmProd/(AVERAGE(Year1BusAssets))),0)</f>
        <v>0</v>
      </c>
      <c r="E32" s="633">
        <f>IF(ISERROR(Year2ValueFarmProdProj/(AVERAGE(Year1BusAssets,Year2BusAssetsProj)))=FALSE,(Year2ValueFarmProdProj/(AVERAGE(Year1BusAssets,Year2BusAssetsProj))),0)</f>
        <v>0</v>
      </c>
      <c r="F32" s="639">
        <f>IF(ScorecardGraphsChoice=Year1,D32,E32)</f>
        <v>0</v>
      </c>
      <c r="G32" s="639">
        <f>IF(ScorecardGraphsChoice=Year1,D32,E32)</f>
        <v>0</v>
      </c>
      <c r="H32" s="636">
        <f>I32-((J32-I32))</f>
        <v>0.22499999999999998</v>
      </c>
      <c r="I32" s="636">
        <v>0.3</v>
      </c>
      <c r="J32" s="636">
        <f t="shared" si="5"/>
        <v>0.375</v>
      </c>
      <c r="K32" s="636">
        <v>0.45</v>
      </c>
      <c r="L32" s="636">
        <f>K32+(K32-J32)</f>
        <v>0.52500000000000002</v>
      </c>
      <c r="M32" s="595"/>
      <c r="N32" s="595"/>
      <c r="O32" s="635">
        <f t="shared" si="0"/>
        <v>0</v>
      </c>
      <c r="P32" s="595" t="str">
        <f t="shared" si="7"/>
        <v>Asset-Turnover Ratio</v>
      </c>
      <c r="Q32" s="595">
        <f>IF(F32&gt;=L32,R32,R32*((F32/L32)/1.65))</f>
        <v>0</v>
      </c>
      <c r="R32" s="595">
        <v>10</v>
      </c>
      <c r="S32" s="595">
        <f t="shared" ref="S32:S36" si="12">IF(Q32&gt;0,(Q32-(T32/2)),0)</f>
        <v>0</v>
      </c>
      <c r="T32" s="595">
        <v>0.27</v>
      </c>
    </row>
    <row r="33" spans="3:20" s="91" customFormat="1" ht="24.95" customHeight="1" x14ac:dyDescent="0.2">
      <c r="C33" s="630" t="s">
        <v>353</v>
      </c>
      <c r="D33" s="633">
        <f>IF(ISERROR(IF(HowSell="Direct to Processor",(Year1OpExp-ACFFCInterestTot-ACFFCDeprBuildTot-ACFFCDeprLivestockTot-ACFFCDeprEquipTot)/(Year1GCFI),(Year1OpExp-ACFFCInterestTot-ACFFCDeprBuildTot-ACFFCDeprLivestockTot-ACFFCDeprEquipTot+Year1DMOpExp-ACFDMFCIntTot-ACFDMFCDeprTot)/(Year1GCFI+Year1GCIDM)))=FALSE,(IF(HowSell="Direct to Processor",(Year1OpExp-ACFFCInterestTot-ACFFCDeprBuildTot-ACFFCDeprLivestockTot-ACFFCDeprEquipTot)/(Year1GCFI),(Year1OpExp-ACFFCInterestTot-ACFFCDeprBuildTot-ACFFCDeprLivestockTot-ACFFCDeprEquipTot+Year1DMOpExp-ACFDMFCIntTot-ACFDMFCDeprTot)/(Year1GCFI+Year1GCIDM))),0)</f>
        <v>0</v>
      </c>
      <c r="E33" s="633">
        <f>IF(ISERROR(IF(HowSell="Direct to Processor",(Year2OpExpProj-MCFFCInterestTot-MCFFCDeprBuildTot-MCFFCDeprLivestockTot-MCFFCDeprEquipTot)/(Year2GCFIProj),(Year2OpExpProj-MCFFCInterestTot-MCFFCDeprBuildTot-MCFFCDeprLivestockTot-MCFFCDeprEquipTot+Year2DMOpExpProj-MCFDMFCIntTot-MCFDMFCDeprTot)/(Year2GCFIProj+Year2GCIDMProj)))=FALSE,(IF(HowSell="Direct to Processor",(Year2OpExpProj-MCFFCInterestTot-MCFFCDeprBuildTot-MCFFCDeprLivestockTot-MCFFCDeprEquipTot)/(Year2GCFIProj),(Year2OpExpProj-MCFFCInterestTot-MCFFCDeprBuildTot-MCFFCDeprLivestockTot-MCFFCDeprEquipTot+Year2DMOpExpProj-MCFDMFCIntTot-MCFDMFCDeprTot)/(Year2GCFIProj+Year2GCIDMProj))),0)</f>
        <v>0</v>
      </c>
      <c r="F33" s="639">
        <f>IF(ScorecardGraphsChoice=Year1,D33,E33)</f>
        <v>0</v>
      </c>
      <c r="G33" s="639">
        <f>IF(ScorecardGraphsChoice=Year1,D33,E33)</f>
        <v>0</v>
      </c>
      <c r="H33" s="636">
        <f t="shared" ref="H33:H36" si="13">I33-((J33-I33))</f>
        <v>0.90000000000000013</v>
      </c>
      <c r="I33" s="636">
        <v>0.8</v>
      </c>
      <c r="J33" s="636">
        <f t="shared" si="5"/>
        <v>0.7</v>
      </c>
      <c r="K33" s="636">
        <v>0.6</v>
      </c>
      <c r="L33" s="636">
        <f t="shared" ref="L33:L36" si="14">K33+(K33-J33)</f>
        <v>0.5</v>
      </c>
      <c r="M33" s="666">
        <f>F33</f>
        <v>0</v>
      </c>
      <c r="N33" s="595"/>
      <c r="O33" s="635">
        <f t="shared" si="0"/>
        <v>0</v>
      </c>
      <c r="P33" s="595" t="str">
        <f t="shared" si="7"/>
        <v>Operating Expense Ratio</v>
      </c>
      <c r="Q33" s="595">
        <f>IF(F33&lt;=L33,R33,IF(F33&lt;J33,(((R33)*(L33/F33))*0.08)*10,(((R33)*(L33/F33))*0.055)*10))</f>
        <v>10</v>
      </c>
      <c r="R33" s="595">
        <v>10</v>
      </c>
      <c r="S33" s="595">
        <f t="shared" si="12"/>
        <v>9.8650000000000002</v>
      </c>
      <c r="T33" s="595">
        <v>0.27</v>
      </c>
    </row>
    <row r="34" spans="3:20" s="91" customFormat="1" ht="24.95" customHeight="1" x14ac:dyDescent="0.2">
      <c r="C34" s="630" t="s">
        <v>355</v>
      </c>
      <c r="D34" s="633">
        <f>IF(ISERROR(IF(HowSell="Direct to Processor",(ACFFCInterestTot)/(Year1GCFI),(ACFFCInterestTot+ACFDMFCIntTot)/(Year1GCFI+Year1GCIDM)))=FALSE,(IF(HowSell="Direct to Processor",(ACFFCInterestTot)/(Year1GCFI),(ACFFCInterestTot+ACFDMFCIntTot)/(Year1GCFI+Year1GCIDM))),0)</f>
        <v>0</v>
      </c>
      <c r="E34" s="633">
        <f>IF(ISERROR(IF(HowSell="Direct to Processor",(MCFFCInterestTot)/(Year2GCFIProj),(MCFFCInterestTot+MCFDMFCIntTot)/(Year2GCFIProj+Year2GCIDMProj)))=FALSE,(IF(HowSell="Direct to Processor",(MCFFCInterestTot)/(Year2GCFIProj),(MCFFCInterestTot+MCFDMFCIntTot)/(Year2GCFIProj+Year2GCIDMProj))),0)</f>
        <v>0</v>
      </c>
      <c r="F34" s="639">
        <f>IF(ScorecardGraphsChoice=Year1,D34,E34)*(J36*2)</f>
        <v>0</v>
      </c>
      <c r="G34" s="639">
        <f>IF(ScorecardGraphsChoice=Year1,D34,E34)</f>
        <v>0</v>
      </c>
      <c r="H34" s="636">
        <f t="shared" si="13"/>
        <v>0.125</v>
      </c>
      <c r="I34" s="636">
        <v>0.1</v>
      </c>
      <c r="J34" s="636">
        <f t="shared" si="5"/>
        <v>7.5000000000000011E-2</v>
      </c>
      <c r="K34" s="636">
        <v>0.05</v>
      </c>
      <c r="L34" s="636">
        <f t="shared" si="14"/>
        <v>2.4999999999999994E-2</v>
      </c>
      <c r="M34" s="595"/>
      <c r="N34" s="595"/>
      <c r="O34" s="635">
        <f t="shared" si="0"/>
        <v>0</v>
      </c>
      <c r="P34" s="595" t="str">
        <f t="shared" si="7"/>
        <v>Interest Expense Ratio</v>
      </c>
      <c r="Q34" s="595">
        <f>IF(F34&lt;=L34,R34,(R34)*(L34/F34))</f>
        <v>10</v>
      </c>
      <c r="R34" s="595">
        <v>10</v>
      </c>
      <c r="S34" s="595">
        <f t="shared" si="12"/>
        <v>9.8650000000000002</v>
      </c>
      <c r="T34" s="595">
        <v>0.27</v>
      </c>
    </row>
    <row r="35" spans="3:20" s="91" customFormat="1" ht="24.95" customHeight="1" x14ac:dyDescent="0.2">
      <c r="C35" s="630" t="s">
        <v>354</v>
      </c>
      <c r="D35" s="633">
        <f>IF(ISERROR(IF(HowSell="Direct to Processor",(ACFFCDeprBuildTot+ACFFCDeprLivestockTot+ACFFCDeprEquipTot)/(Year1GCFI),(ACFFCDeprBuildTot+ACFFCDeprLivestockTot+ACFFCDeprEquipTot+ACFDMFCIntTot-ACFDMFCDeprTot)/(Year1GCFI+Year1GCIDM)))=FALSE,(IF(HowSell="Direct to Processor",(ACFFCDeprBuildTot+ACFFCDeprLivestockTot+ACFFCDeprEquipTot)/(Year1GCFI),(ACFFCDeprBuildTot+ACFFCDeprLivestockTot+ACFFCDeprEquipTot+ACFDMFCIntTot-ACFDMFCDeprTot)/(Year1GCFI+Year1GCIDM))),0)</f>
        <v>0</v>
      </c>
      <c r="E35" s="633">
        <f>IF(ISERROR(IF(HowSell="Direct to Processor",(MCFFCDeprBuildTot+MCFFCDeprLivestockTot+MCFFCDeprEquipTot)/(Year2GCFIProj),(MCFFCDeprBuildTot+MCFFCDeprLivestockTot+MCFFCDeprEquipTot+MCFDMFCIntTot-MCFDMFCDeprTot)/(Year2GCFIProj+Year2GCIDMProj)))=FALSE,(IF(HowSell="Direct to Processor",(MCFFCDeprBuildTot+MCFFCDeprLivestockTot+MCFFCDeprEquipTot)/(Year2GCFIProj),(MCFFCDeprBuildTot+MCFFCDeprLivestockTot+MCFFCDeprEquipTot+MCFDMFCIntTot-MCFDMFCDeprTot)/(Year2GCFIProj+Year2GCIDMProj))),0)</f>
        <v>0</v>
      </c>
      <c r="F35" s="639">
        <f>IF(ScorecardGraphsChoice=Year1,D35,E35)/(J36*2)</f>
        <v>0</v>
      </c>
      <c r="G35" s="639">
        <f>IF(ScorecardGraphsChoice=Year1,D35,E35)</f>
        <v>0</v>
      </c>
      <c r="H35" s="636">
        <v>0.16</v>
      </c>
      <c r="I35" s="636">
        <v>0.1</v>
      </c>
      <c r="J35" s="636">
        <f t="shared" si="5"/>
        <v>7.5000000000000011E-2</v>
      </c>
      <c r="K35" s="636">
        <v>0.05</v>
      </c>
      <c r="L35" s="636">
        <v>0</v>
      </c>
      <c r="M35" s="637">
        <f>H35</f>
        <v>0.16</v>
      </c>
      <c r="N35" s="595"/>
      <c r="O35" s="635">
        <f t="shared" si="0"/>
        <v>0</v>
      </c>
      <c r="P35" s="595" t="str">
        <f t="shared" si="7"/>
        <v>Depreciation Expense Ratio</v>
      </c>
      <c r="Q35" s="595">
        <f>IF(F35&lt;=L35,R35,(R35)*(H35/F35))/1.4</f>
        <v>7.1428571428571432</v>
      </c>
      <c r="R35" s="595">
        <v>10</v>
      </c>
      <c r="S35" s="595">
        <f t="shared" si="12"/>
        <v>7.0078571428571435</v>
      </c>
      <c r="T35" s="595">
        <v>0.27</v>
      </c>
    </row>
    <row r="36" spans="3:20" s="91" customFormat="1" ht="24.95" customHeight="1" x14ac:dyDescent="0.2">
      <c r="C36" s="630" t="s">
        <v>356</v>
      </c>
      <c r="D36" s="633">
        <f>IF(ISERROR(IF(HowSell="Direct to Processor",(NetIncomeAgYear1)/(Year1GCFI),(NetIncomeAgYear1+NetIncomeDMYear1)/(Year1GCFI+Year1GCIDM)))=FALSE,(IF(HowSell="Direct to Processor",(NetIncomeAgYear1)/(Year1GCFI),(NetIncomeAgYear1+NetIncomeDMYear1)/(Year1GCFI+Year1GCIDM))),0)</f>
        <v>0</v>
      </c>
      <c r="E36" s="633">
        <f>IF(ISERROR(IF(HowSell="Direct to Processor",(NetIncomeAgYear2)/(Year2GCFIProj),(NetIncomeAgYear2+NetIncomeDMYear2)/(Year2GCFIProj+Year2GCIDMProj)))=FALSE,(IF(HowSell="Direct to Processor",(NetIncomeAgYear2)/(Year2GCFIProj),(NetIncomeAgYear2+NetIncomeDMYear2)/(Year2GCFIProj+Year2GCIDMProj))),0)</f>
        <v>0</v>
      </c>
      <c r="F36" s="639">
        <f>IF(ScorecardGraphsChoice=Year1,D36,E36)*(J36*2)</f>
        <v>0</v>
      </c>
      <c r="G36" s="639">
        <f>IF(ScorecardGraphsChoice=Year1,D36,E36)</f>
        <v>0</v>
      </c>
      <c r="H36" s="636">
        <f t="shared" si="13"/>
        <v>4.9999999999999989E-2</v>
      </c>
      <c r="I36" s="636">
        <v>0.1</v>
      </c>
      <c r="J36" s="636">
        <f t="shared" si="5"/>
        <v>0.15000000000000002</v>
      </c>
      <c r="K36" s="636">
        <v>0.2</v>
      </c>
      <c r="L36" s="636">
        <f t="shared" si="14"/>
        <v>0.25</v>
      </c>
      <c r="M36" s="595"/>
      <c r="N36" s="595"/>
      <c r="O36" s="635">
        <f t="shared" si="0"/>
        <v>0</v>
      </c>
      <c r="P36" s="595" t="str">
        <f t="shared" si="7"/>
        <v>Net Income Ratio</v>
      </c>
      <c r="Q36" s="595">
        <f>IF(IF(F36&gt;=L36,R36,R36*(F36/L36))/(J36*2.5)&gt;R36,10,IF(F36&gt;=L36,R36,R36*(F36/L36))/(J36*2.5))</f>
        <v>0</v>
      </c>
      <c r="R36" s="595">
        <v>10</v>
      </c>
      <c r="S36" s="595">
        <f t="shared" si="12"/>
        <v>0</v>
      </c>
      <c r="T36" s="595">
        <v>0.27</v>
      </c>
    </row>
    <row r="37" spans="3:20" x14ac:dyDescent="0.2">
      <c r="D37" s="600"/>
      <c r="E37" s="600"/>
      <c r="O37" s="660"/>
    </row>
    <row r="40" spans="3:20" x14ac:dyDescent="0.2">
      <c r="C40" s="57"/>
      <c r="F40" s="640"/>
    </row>
    <row r="41" spans="3:20" x14ac:dyDescent="0.2">
      <c r="F41" s="640"/>
    </row>
    <row r="42" spans="3:20" x14ac:dyDescent="0.2">
      <c r="C42" s="57"/>
    </row>
  </sheetData>
  <sheetProtection algorithmName="SHA-512" hashValue="rzjWiPxsnu7aLbYPqnEjbtDQL4Qo0quMOTH8foUoUYeekcZpoqybgJZtlaYMbGaAyJkkRbL/orhZ02bdfnyE9A==" saltValue="GtJu4lrQ869cwTB0MCGKBw==" spinCount="100000" sheet="1" objects="1" scenarios="1"/>
  <mergeCells count="4">
    <mergeCell ref="E11:E12"/>
    <mergeCell ref="A2:I2"/>
    <mergeCell ref="A3:I3"/>
    <mergeCell ref="D11:D12"/>
  </mergeCells>
  <conditionalFormatting sqref="D13:D15 D18:D20 D23:D26 D29 D32:D36">
    <cfRule type="expression" dxfId="1" priority="2">
      <formula>ScorecardGraphsChoice=Year1</formula>
    </cfRule>
  </conditionalFormatting>
  <conditionalFormatting sqref="E13:E15 E18:E20 E23:E26 E29 E32:E36">
    <cfRule type="expression" dxfId="0" priority="1">
      <formula>ScorecardGraphsChoice=Year2</formula>
    </cfRule>
  </conditionalFormatting>
  <hyperlinks>
    <hyperlink ref="A3:I3" r:id="rId1" display="For more information visit http://Ans.Farm/FinancialScorecard" xr:uid="{00000000-0004-0000-1000-000000000000}"/>
  </hyperlinks>
  <pageMargins left="0.7" right="0.7" top="0.75" bottom="0.75" header="0.3" footer="0.3"/>
  <pageSetup orientation="portrait" horizontalDpi="1200" verticalDpi="1200" r:id="rId2"/>
  <headerFooter>
    <oddFooter>&amp;LAgPlan Farm Financial Scorecard&amp;RAgPlan.com</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228353" r:id="rId5" name="Drop Down 1">
              <controlPr locked="0" defaultSize="0" autoLine="0" autoPict="0">
                <anchor moveWithCells="1">
                  <from>
                    <xdr:col>6</xdr:col>
                    <xdr:colOff>9525</xdr:colOff>
                    <xdr:row>7</xdr:row>
                    <xdr:rowOff>9525</xdr:rowOff>
                  </from>
                  <to>
                    <xdr:col>7</xdr:col>
                    <xdr:colOff>714375</xdr:colOff>
                    <xdr:row>7</xdr:row>
                    <xdr:rowOff>333375</xdr:rowOff>
                  </to>
                </anchor>
              </controlPr>
            </control>
          </mc:Choice>
        </mc:AlternateContent>
        <mc:AlternateContent xmlns:mc="http://schemas.openxmlformats.org/markup-compatibility/2006">
          <mc:Choice Requires="x14">
            <control shapeId="228354" r:id="rId6" name="Drop Down 2">
              <controlPr locked="0" defaultSize="0" autoLine="0" autoPict="0">
                <anchor moveWithCells="1">
                  <from>
                    <xdr:col>5</xdr:col>
                    <xdr:colOff>190500</xdr:colOff>
                    <xdr:row>8</xdr:row>
                    <xdr:rowOff>57150</xdr:rowOff>
                  </from>
                  <to>
                    <xdr:col>8</xdr:col>
                    <xdr:colOff>209550</xdr:colOff>
                    <xdr:row>9</xdr:row>
                    <xdr:rowOff>314325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C400"/>
  </sheetPr>
  <dimension ref="A1:E82"/>
  <sheetViews>
    <sheetView workbookViewId="0">
      <selection activeCell="E34" sqref="E34"/>
    </sheetView>
  </sheetViews>
  <sheetFormatPr defaultRowHeight="12.75" x14ac:dyDescent="0.2"/>
  <cols>
    <col min="1" max="2" width="4.7109375" customWidth="1"/>
    <col min="3" max="3" width="34.28515625" bestFit="1" customWidth="1"/>
    <col min="4" max="4" width="14" style="553" bestFit="1" customWidth="1"/>
    <col min="5" max="5" width="19.7109375" style="553" bestFit="1" customWidth="1"/>
  </cols>
  <sheetData>
    <row r="1" spans="1:5" x14ac:dyDescent="0.2">
      <c r="A1" t="s">
        <v>370</v>
      </c>
    </row>
    <row r="2" spans="1:5" x14ac:dyDescent="0.2">
      <c r="D2" s="553">
        <f>Year</f>
        <v>0</v>
      </c>
      <c r="E2" s="553" t="str">
        <f>CONCATENATE("End of ",Year2)</f>
        <v>End of 1 Projected</v>
      </c>
    </row>
    <row r="3" spans="1:5" x14ac:dyDescent="0.2">
      <c r="B3" s="57" t="s">
        <v>380</v>
      </c>
    </row>
    <row r="4" spans="1:5" x14ac:dyDescent="0.2">
      <c r="B4" t="s">
        <v>160</v>
      </c>
    </row>
    <row r="5" spans="1:5" x14ac:dyDescent="0.2">
      <c r="C5" t="str">
        <f>CONCATENATE('Final Balance Sheet'!B8)</f>
        <v>Cash</v>
      </c>
      <c r="D5" s="553">
        <f>'Final Balance Sheet'!C8</f>
        <v>0</v>
      </c>
      <c r="E5" s="553">
        <f>EndingCashDec</f>
        <v>5000</v>
      </c>
    </row>
    <row r="6" spans="1:5" x14ac:dyDescent="0.2">
      <c r="C6" t="str">
        <f>CONCATENATE('Final Balance Sheet'!B9,"*")</f>
        <v>Pre-paid Expenses*</v>
      </c>
      <c r="D6" s="553">
        <f>'Final Balance Sheet'!C9</f>
        <v>0</v>
      </c>
      <c r="E6" s="553">
        <f>'Final Balance Sheet'!C9</f>
        <v>0</v>
      </c>
    </row>
    <row r="7" spans="1:5" x14ac:dyDescent="0.2">
      <c r="C7" t="str">
        <f>CONCATENATE('Final Balance Sheet'!B10)</f>
        <v>Crop Inventory</v>
      </c>
      <c r="D7" s="553">
        <f>'Final Balance Sheet'!C10</f>
        <v>0</v>
      </c>
      <c r="E7" s="553">
        <f>InvProjCropsEntryProj</f>
        <v>0</v>
      </c>
    </row>
    <row r="8" spans="1:5" x14ac:dyDescent="0.2">
      <c r="C8" t="str">
        <f>CONCATENATE('Final Balance Sheet'!B11)</f>
        <v>Livestock Held for Sale</v>
      </c>
      <c r="D8" s="553">
        <f>'Final Balance Sheet'!C11</f>
        <v>0</v>
      </c>
      <c r="E8" s="553">
        <f>InvProjLivestockEntryProj</f>
        <v>0</v>
      </c>
    </row>
    <row r="9" spans="1:5" x14ac:dyDescent="0.2">
      <c r="C9" t="str">
        <f>CONCATENATE('Final Balance Sheet'!B12,"*")</f>
        <v>Other Inventory*</v>
      </c>
      <c r="D9" s="553">
        <f>'Final Balance Sheet'!C12</f>
        <v>0</v>
      </c>
      <c r="E9" s="553">
        <f>InvProjOthEntryProj</f>
        <v>0</v>
      </c>
    </row>
    <row r="10" spans="1:5" x14ac:dyDescent="0.2">
      <c r="C10" t="str">
        <f>CONCATENATE('Final Balance Sheet'!B13,"*")</f>
        <v>Due from Processors*</v>
      </c>
      <c r="D10" s="553">
        <f>'Final Balance Sheet'!C13</f>
        <v>0</v>
      </c>
      <c r="E10" s="553">
        <f>'Final Balance Sheet'!C13</f>
        <v>0</v>
      </c>
    </row>
    <row r="11" spans="1:5" x14ac:dyDescent="0.2">
      <c r="C11" t="str">
        <f>CONCATENATE('Final Balance Sheet'!B14,"*")</f>
        <v>Other Business Accounts Receivables*</v>
      </c>
      <c r="D11" s="553">
        <f>'Final Balance Sheet'!C14</f>
        <v>0</v>
      </c>
      <c r="E11" s="553">
        <f>'Final Balance Sheet'!C14</f>
        <v>0</v>
      </c>
    </row>
    <row r="12" spans="1:5" x14ac:dyDescent="0.2">
      <c r="C12" t="str">
        <f>CONCATENATE('Final Balance Sheet'!B15,"*")</f>
        <v>Business Loans Receivable*</v>
      </c>
      <c r="D12" s="553">
        <f>'Final Balance Sheet'!C15</f>
        <v>0</v>
      </c>
      <c r="E12" s="553">
        <f>'Final Balance Sheet'!C15</f>
        <v>0</v>
      </c>
    </row>
    <row r="13" spans="1:5" x14ac:dyDescent="0.2">
      <c r="C13" t="str">
        <f>CONCATENATE('Final Balance Sheet'!B16,"*")</f>
        <v>Other Current Assets*</v>
      </c>
      <c r="D13" s="553">
        <f>'Final Balance Sheet'!C16</f>
        <v>0</v>
      </c>
      <c r="E13" s="553">
        <f>'Final Balance Sheet'!C16</f>
        <v>0</v>
      </c>
    </row>
    <row r="14" spans="1:5" x14ac:dyDescent="0.2">
      <c r="B14" t="s">
        <v>162</v>
      </c>
      <c r="D14" s="553">
        <f>SUM(D5:D13)</f>
        <v>0</v>
      </c>
      <c r="E14" s="553">
        <f>SUM(E5:E13)</f>
        <v>5000</v>
      </c>
    </row>
    <row r="16" spans="1:5" x14ac:dyDescent="0.2">
      <c r="B16" s="57" t="s">
        <v>371</v>
      </c>
    </row>
    <row r="17" spans="2:5" x14ac:dyDescent="0.2">
      <c r="C17" t="str">
        <f>CONCATENATE('Final Balance Sheet'!B20,"*")</f>
        <v>Equipment*</v>
      </c>
      <c r="D17" s="553">
        <f>'Final Balance Sheet'!C20</f>
        <v>0</v>
      </c>
      <c r="E17" s="553">
        <f>'Final Balance Sheet'!C20+MCFCapPurchEquipTot-MCFFCDeprEquipTot-MCFEquipBSValTot+MCFDMCapPurchTot-MCFDMFCDeprTot-MCFDMEquipBSValTot+'Final Balance Sheet'!C22</f>
        <v>0</v>
      </c>
    </row>
    <row r="18" spans="2:5" x14ac:dyDescent="0.2">
      <c r="C18" t="str">
        <f>CONCATENATE('Final Balance Sheet'!B21,"*")</f>
        <v>Raised &amp; Purchased Breeding Lvsk*</v>
      </c>
      <c r="D18" s="553">
        <f>'Final Balance Sheet'!C21</f>
        <v>0</v>
      </c>
      <c r="E18" s="553">
        <f>'Final Balance Sheet'!C21+MCFCapPurchLivestockTot-MCFFCDeprLivestockTot-MCFLivestockBSValTot</f>
        <v>0</v>
      </c>
    </row>
    <row r="19" spans="2:5" x14ac:dyDescent="0.2">
      <c r="C19" t="str">
        <f>CONCATENATE('Final Balance Sheet'!B22,"*")</f>
        <v>Business Vehicles*</v>
      </c>
      <c r="D19" s="553">
        <f>'Final Balance Sheet'!C22</f>
        <v>0</v>
      </c>
    </row>
    <row r="20" spans="2:5" x14ac:dyDescent="0.2">
      <c r="B20" s="57" t="s">
        <v>373</v>
      </c>
      <c r="D20" s="553">
        <f>SUM(D17:D19)</f>
        <v>0</v>
      </c>
      <c r="E20" s="553">
        <f>SUM(E17:E19)</f>
        <v>0</v>
      </c>
    </row>
    <row r="22" spans="2:5" x14ac:dyDescent="0.2">
      <c r="B22" s="57" t="s">
        <v>375</v>
      </c>
    </row>
    <row r="23" spans="2:5" x14ac:dyDescent="0.2">
      <c r="C23" t="str">
        <f>CONCATENATE('Final Balance Sheet'!B26,"*")</f>
        <v>Land*</v>
      </c>
      <c r="D23" s="553">
        <f>'Final Balance Sheet'!C26</f>
        <v>0</v>
      </c>
      <c r="E23" s="553">
        <f>'Final Balance Sheet'!C26</f>
        <v>0</v>
      </c>
    </row>
    <row r="24" spans="2:5" x14ac:dyDescent="0.2">
      <c r="C24" t="str">
        <f>CONCATENATE('Final Balance Sheet'!B27,"*")</f>
        <v>Buildings &amp; Improvements*</v>
      </c>
      <c r="D24" s="553">
        <f>'Final Balance Sheet'!C27</f>
        <v>0</v>
      </c>
      <c r="E24" s="553">
        <f>'Final Balance Sheet'!C27+MCFCapPurchBuildingsTot-MCFFCDeprBuildTot-MCFBuildBSValTot</f>
        <v>0</v>
      </c>
    </row>
    <row r="25" spans="2:5" x14ac:dyDescent="0.2">
      <c r="C25" t="str">
        <f>CONCATENATE('Final Balance Sheet'!B28,"*")</f>
        <v>Oth Business Real Estate*</v>
      </c>
      <c r="D25" s="553">
        <f>'Final Balance Sheet'!C28</f>
        <v>0</v>
      </c>
      <c r="E25" s="553">
        <f>'Final Balance Sheet'!C28</f>
        <v>0</v>
      </c>
    </row>
    <row r="26" spans="2:5" x14ac:dyDescent="0.2">
      <c r="C26" t="str">
        <f>CONCATENATE('Final Balance Sheet'!B29,"*")</f>
        <v>Other Non-Current Business Assets*</v>
      </c>
      <c r="D26" s="553">
        <f>'Final Balance Sheet'!C29</f>
        <v>0</v>
      </c>
      <c r="E26" s="553">
        <f>'Final Balance Sheet'!C29</f>
        <v>0</v>
      </c>
    </row>
    <row r="27" spans="2:5" x14ac:dyDescent="0.2">
      <c r="B27" s="57" t="s">
        <v>377</v>
      </c>
      <c r="D27" s="553">
        <f>SUM(D23:D26)</f>
        <v>0</v>
      </c>
      <c r="E27" s="553">
        <f>SUM(E23:E26)</f>
        <v>0</v>
      </c>
    </row>
    <row r="29" spans="2:5" x14ac:dyDescent="0.2">
      <c r="B29" s="57" t="s">
        <v>379</v>
      </c>
      <c r="D29" s="553">
        <f>D14+D20+D27</f>
        <v>0</v>
      </c>
      <c r="E29" s="553">
        <f>E14+E20+E27</f>
        <v>5000</v>
      </c>
    </row>
    <row r="31" spans="2:5" x14ac:dyDescent="0.2">
      <c r="B31" s="57" t="s">
        <v>381</v>
      </c>
    </row>
    <row r="32" spans="2:5" x14ac:dyDescent="0.2">
      <c r="B32" s="57" t="s">
        <v>161</v>
      </c>
    </row>
    <row r="33" spans="2:5" x14ac:dyDescent="0.2">
      <c r="C33" t="str">
        <f>CONCATENATE('Final Balance Sheet'!D8)</f>
        <v>Operating Loans</v>
      </c>
      <c r="D33" s="553">
        <f>'Final Balance Sheet'!G8</f>
        <v>0</v>
      </c>
      <c r="E33" s="553">
        <f>'Cash Flows'!E219</f>
        <v>0</v>
      </c>
    </row>
    <row r="34" spans="2:5" x14ac:dyDescent="0.2">
      <c r="C34" t="str">
        <f>CONCATENATE('Final Balance Sheet'!D9)</f>
        <v>Current Portion of Long-term Loans</v>
      </c>
      <c r="D34" s="553">
        <f>'Final Balance Sheet'!G9</f>
        <v>0</v>
      </c>
      <c r="E34" s="553">
        <f>CurPortLTProjected+LoanProjSumAgBusCurr+LoanProjSumDMBusCurr</f>
        <v>0</v>
      </c>
    </row>
    <row r="35" spans="2:5" x14ac:dyDescent="0.2">
      <c r="C35" t="str">
        <f>CONCATENATE('Final Balance Sheet'!D10,"*")</f>
        <v>Business Credit Card Debt*</v>
      </c>
      <c r="D35" s="553">
        <f>'Final Balance Sheet'!G10</f>
        <v>0</v>
      </c>
      <c r="E35" s="553">
        <f>'Final Balance Sheet'!G10</f>
        <v>0</v>
      </c>
    </row>
    <row r="36" spans="2:5" x14ac:dyDescent="0.2">
      <c r="C36" t="str">
        <f>CONCATENATE('Final Balance Sheet'!D11,"*")</f>
        <v>Taxes &amp; Assessments Payable*</v>
      </c>
      <c r="D36" s="553">
        <f>'Final Balance Sheet'!G11</f>
        <v>0</v>
      </c>
      <c r="E36" s="553">
        <f>'Final Balance Sheet'!G11</f>
        <v>0</v>
      </c>
    </row>
    <row r="37" spans="2:5" x14ac:dyDescent="0.2">
      <c r="C37" t="str">
        <f>CONCATENATE('Final Balance Sheet'!D12,"*")</f>
        <v>Accrued Interest*</v>
      </c>
      <c r="D37" s="553">
        <f>'Final Balance Sheet'!G12</f>
        <v>0</v>
      </c>
      <c r="E37" s="553">
        <f>LoanAccrIntProj+LoanProjSumAgBusAccrInt+LoanProjSumDMBusAccrInt+LoanProjSumOpAgAccrInt+LoanProjSumDMOpAccrInt+'Cash Flows'!Q218</f>
        <v>0</v>
      </c>
    </row>
    <row r="38" spans="2:5" x14ac:dyDescent="0.2">
      <c r="C38" t="str">
        <f>CONCATENATE('Final Balance Sheet'!D13,"*")</f>
        <v>Accounts Payable*</v>
      </c>
      <c r="D38" s="553">
        <f>'Final Balance Sheet'!G13</f>
        <v>0</v>
      </c>
      <c r="E38" s="553">
        <f>'Final Balance Sheet'!G13</f>
        <v>0</v>
      </c>
    </row>
    <row r="39" spans="2:5" x14ac:dyDescent="0.2">
      <c r="C39" t="str">
        <f>CONCATENATE('Final Balance Sheet'!D16,"*")</f>
        <v>Other Current Liabilities*</v>
      </c>
      <c r="D39" s="553">
        <f>'Final Balance Sheet'!G16</f>
        <v>0</v>
      </c>
      <c r="E39" s="553">
        <f>'Final Balance Sheet'!G16</f>
        <v>0</v>
      </c>
    </row>
    <row r="40" spans="2:5" x14ac:dyDescent="0.2">
      <c r="B40" s="57" t="s">
        <v>163</v>
      </c>
      <c r="D40" s="553">
        <f>SUM(D33:D39)</f>
        <v>0</v>
      </c>
      <c r="E40" s="553">
        <f>SUM(E33:E39)</f>
        <v>0</v>
      </c>
    </row>
    <row r="42" spans="2:5" x14ac:dyDescent="0.2">
      <c r="B42" s="57" t="s">
        <v>372</v>
      </c>
    </row>
    <row r="43" spans="2:5" x14ac:dyDescent="0.2">
      <c r="C43" t="str">
        <f>CONCATENATE('Final Balance Sheet'!D20)</f>
        <v>Equipment Loans</v>
      </c>
      <c r="D43" s="553">
        <f>'Final Balance Sheet'!G20</f>
        <v>0</v>
      </c>
      <c r="E43" s="553">
        <f>LoanEquipmentEntryProjected+LoanProjSumAgBusRem+LoanProjSumDMBusRem</f>
        <v>0</v>
      </c>
    </row>
    <row r="44" spans="2:5" x14ac:dyDescent="0.2">
      <c r="C44" t="str">
        <f>CONCATENATE('Final Balance Sheet'!D21)</f>
        <v>Livestock Loans</v>
      </c>
      <c r="D44" s="553">
        <f>'Final Balance Sheet'!G21</f>
        <v>0</v>
      </c>
      <c r="E44" s="553">
        <f>LoanLivestockEntryProjected</f>
        <v>0</v>
      </c>
    </row>
    <row r="45" spans="2:5" x14ac:dyDescent="0.2">
      <c r="C45" t="str">
        <f>CONCATENATE('Final Balance Sheet'!D22)</f>
        <v>Business Vehicle Loans</v>
      </c>
      <c r="D45" s="553">
        <f>'Final Balance Sheet'!G22</f>
        <v>0</v>
      </c>
      <c r="E45" s="553">
        <f>LoanBVehEntryProjected</f>
        <v>0</v>
      </c>
    </row>
    <row r="46" spans="2:5" x14ac:dyDescent="0.2">
      <c r="B46" s="57" t="s">
        <v>374</v>
      </c>
      <c r="D46" s="553">
        <f>SUM(D43:D45)</f>
        <v>0</v>
      </c>
      <c r="E46" s="553">
        <f>SUM(E43:E45)</f>
        <v>0</v>
      </c>
    </row>
    <row r="47" spans="2:5" x14ac:dyDescent="0.2">
      <c r="B47" s="57"/>
    </row>
    <row r="48" spans="2:5" x14ac:dyDescent="0.2">
      <c r="B48" s="57" t="s">
        <v>376</v>
      </c>
      <c r="D48" s="553" t="str">
        <f>CONCATENATE('Final Balance Sheet'!D25)</f>
        <v/>
      </c>
    </row>
    <row r="49" spans="2:5" x14ac:dyDescent="0.2">
      <c r="C49" t="str">
        <f>CONCATENATE('Final Balance Sheet'!D26)</f>
        <v>Business Real Estate Loans</v>
      </c>
      <c r="D49" s="553">
        <f>'Final Balance Sheet'!G26</f>
        <v>0</v>
      </c>
      <c r="E49" s="553">
        <f>LoanREEntryProjected</f>
        <v>0</v>
      </c>
    </row>
    <row r="50" spans="2:5" x14ac:dyDescent="0.2">
      <c r="C50" t="str">
        <f>CONCATENATE('Final Balance Sheet'!D27)</f>
        <v>Business Buildings Loans</v>
      </c>
      <c r="D50" s="553">
        <f>'Final Balance Sheet'!G27</f>
        <v>0</v>
      </c>
      <c r="E50" s="553">
        <f>LoanBuildEntryProjected</f>
        <v>0</v>
      </c>
    </row>
    <row r="51" spans="2:5" x14ac:dyDescent="0.2">
      <c r="C51" t="str">
        <f>CONCATENATE('Final Balance Sheet'!D28,"*")</f>
        <v>Other Business Loans*</v>
      </c>
      <c r="D51" s="553">
        <f>'Final Balance Sheet'!G28</f>
        <v>0</v>
      </c>
      <c r="E51" s="553">
        <f>LoanOthBizEntryProjected</f>
        <v>0</v>
      </c>
    </row>
    <row r="52" spans="2:5" x14ac:dyDescent="0.2">
      <c r="C52" t="str">
        <f>CONCATENATE('Final Balance Sheet'!D29,"*")</f>
        <v>Other Non-Current Liabilities*</v>
      </c>
      <c r="D52" s="553">
        <f>'Final Balance Sheet'!G29</f>
        <v>0</v>
      </c>
      <c r="E52" s="553">
        <f>'Final Balance Sheet'!G29</f>
        <v>0</v>
      </c>
    </row>
    <row r="53" spans="2:5" x14ac:dyDescent="0.2">
      <c r="B53" s="57" t="s">
        <v>378</v>
      </c>
      <c r="C53" s="57"/>
      <c r="D53" s="553">
        <f>SUM(D49:D52)</f>
        <v>0</v>
      </c>
      <c r="E53" s="553">
        <f>SUM(E49:E52)</f>
        <v>0</v>
      </c>
    </row>
    <row r="55" spans="2:5" x14ac:dyDescent="0.2">
      <c r="B55" s="57" t="s">
        <v>382</v>
      </c>
      <c r="D55" s="553">
        <f>D40+D46+D53</f>
        <v>0</v>
      </c>
      <c r="E55" s="553">
        <f>E40+E46+E53</f>
        <v>0</v>
      </c>
    </row>
    <row r="57" spans="2:5" x14ac:dyDescent="0.2">
      <c r="B57" s="57" t="s">
        <v>394</v>
      </c>
      <c r="D57" s="553">
        <f>D29-D55</f>
        <v>0</v>
      </c>
      <c r="E57" s="553">
        <f>E29-E55</f>
        <v>5000</v>
      </c>
    </row>
    <row r="59" spans="2:5" x14ac:dyDescent="0.2">
      <c r="B59" s="57" t="s">
        <v>383</v>
      </c>
    </row>
    <row r="60" spans="2:5" x14ac:dyDescent="0.2">
      <c r="C60" t="str">
        <f>CONCATENATE('Final Balance Sheet'!B48,"*")</f>
        <v>Cash in Personal Accounts*</v>
      </c>
      <c r="D60" s="553">
        <f>'Final Balance Sheet'!C48</f>
        <v>0</v>
      </c>
      <c r="E60" s="553">
        <f>'Final Balance Sheet'!C48</f>
        <v>0</v>
      </c>
    </row>
    <row r="61" spans="2:5" x14ac:dyDescent="0.2">
      <c r="C61" t="str">
        <f>CONCATENATE('Final Balance Sheet'!B49,"*")</f>
        <v>Stocks &amp; Bonds*</v>
      </c>
      <c r="D61" s="553">
        <f>'Final Balance Sheet'!C49</f>
        <v>0</v>
      </c>
      <c r="E61" s="553">
        <f>'Final Balance Sheet'!C49</f>
        <v>0</v>
      </c>
    </row>
    <row r="62" spans="2:5" x14ac:dyDescent="0.2">
      <c r="C62" t="str">
        <f>CONCATENATE('Final Balance Sheet'!B50,"*")</f>
        <v>Loans Receivable (personal loans)*</v>
      </c>
      <c r="D62" s="553">
        <f>'Final Balance Sheet'!C50</f>
        <v>0</v>
      </c>
      <c r="E62" s="553">
        <f>'Final Balance Sheet'!C50</f>
        <v>0</v>
      </c>
    </row>
    <row r="63" spans="2:5" x14ac:dyDescent="0.2">
      <c r="C63" t="str">
        <f>CONCATENATE('Final Balance Sheet'!B51,"*")</f>
        <v>Personal Property*</v>
      </c>
      <c r="D63" s="553">
        <f>'Final Balance Sheet'!C51</f>
        <v>0</v>
      </c>
      <c r="E63" s="553">
        <f>'Final Balance Sheet'!C51+MCFPPersCapPurchTot</f>
        <v>0</v>
      </c>
    </row>
    <row r="64" spans="2:5" x14ac:dyDescent="0.2">
      <c r="C64" t="str">
        <f>CONCATENATE('Final Balance Sheet'!B52,"*")</f>
        <v>Personal Vehicles*</v>
      </c>
      <c r="D64" s="553">
        <f>'Final Balance Sheet'!C52</f>
        <v>0</v>
      </c>
      <c r="E64" s="553">
        <f>'Final Balance Sheet'!C52+MCFPPersVehPurchTot</f>
        <v>0</v>
      </c>
    </row>
    <row r="65" spans="2:5" x14ac:dyDescent="0.2">
      <c r="C65" t="str">
        <f>CONCATENATE('Final Balance Sheet'!B53,"*")</f>
        <v>Cash Value of Life Insurance Policies*</v>
      </c>
      <c r="D65" s="553">
        <f>'Final Balance Sheet'!C53</f>
        <v>0</v>
      </c>
      <c r="E65" s="553">
        <f>'Final Balance Sheet'!C53</f>
        <v>0</v>
      </c>
    </row>
    <row r="66" spans="2:5" x14ac:dyDescent="0.2">
      <c r="C66" t="str">
        <f>CONCATENATE('Final Balance Sheet'!B54,"*")</f>
        <v>Personal Real Estate*</v>
      </c>
      <c r="D66" s="553">
        <f>'Final Balance Sheet'!C54</f>
        <v>0</v>
      </c>
      <c r="E66" s="553">
        <f>'Final Balance Sheet'!C54</f>
        <v>0</v>
      </c>
    </row>
    <row r="67" spans="2:5" x14ac:dyDescent="0.2">
      <c r="C67" t="str">
        <f>CONCATENATE('Final Balance Sheet'!B55,"*")</f>
        <v>Retirement Accounts*</v>
      </c>
      <c r="D67" s="553">
        <f>'Final Balance Sheet'!C55</f>
        <v>0</v>
      </c>
      <c r="E67" s="553">
        <f>'Final Balance Sheet'!C55+MCFPPersRetirementTot</f>
        <v>0</v>
      </c>
    </row>
    <row r="68" spans="2:5" x14ac:dyDescent="0.2">
      <c r="C68" t="str">
        <f>CONCATENATE('Final Balance Sheet'!B56,"*")</f>
        <v>Other Personal Assets*</v>
      </c>
      <c r="D68" s="553">
        <f>'Final Balance Sheet'!C56</f>
        <v>0</v>
      </c>
      <c r="E68" s="553">
        <f>'Final Balance Sheet'!C56+MCFPOthPurchTot</f>
        <v>0</v>
      </c>
    </row>
    <row r="69" spans="2:5" x14ac:dyDescent="0.2">
      <c r="B69" s="57" t="s">
        <v>384</v>
      </c>
      <c r="D69" s="553">
        <f>SUM(D60:D68)</f>
        <v>0</v>
      </c>
      <c r="E69" s="553">
        <f>SUM(E60:E68)</f>
        <v>0</v>
      </c>
    </row>
    <row r="71" spans="2:5" x14ac:dyDescent="0.2">
      <c r="B71" s="57" t="s">
        <v>385</v>
      </c>
    </row>
    <row r="72" spans="2:5" x14ac:dyDescent="0.2">
      <c r="C72" t="str">
        <f>CONCATENATE('Final Balance Sheet'!D48,"*")</f>
        <v>Personal Accounts Payable*</v>
      </c>
      <c r="D72" s="553">
        <f>'Final Balance Sheet'!G48</f>
        <v>0</v>
      </c>
      <c r="E72" s="553">
        <f>'Final Balance Sheet'!G48</f>
        <v>0</v>
      </c>
    </row>
    <row r="73" spans="2:5" x14ac:dyDescent="0.2">
      <c r="C73" t="str">
        <f>CONCATENATE('Final Balance Sheet'!D49,"*")</f>
        <v xml:space="preserve"> Loans*</v>
      </c>
      <c r="D73" s="553">
        <f>'Final Balance Sheet'!G49</f>
        <v>0</v>
      </c>
      <c r="E73" s="553">
        <f>LoanPersEntryProjected+LoanPersEntryCurrentProjected+LoanProjSumPersCurr+LoanProjSumPersRem</f>
        <v>0</v>
      </c>
    </row>
    <row r="74" spans="2:5" x14ac:dyDescent="0.2">
      <c r="C74" t="str">
        <f>CONCATENATE('Final Balance Sheet'!D50,"*")</f>
        <v>Personal Credit Card Debt*</v>
      </c>
      <c r="D74" s="553">
        <f>'Final Balance Sheet'!G50</f>
        <v>0</v>
      </c>
      <c r="E74" s="553">
        <f>'Final Balance Sheet'!G50</f>
        <v>0</v>
      </c>
    </row>
    <row r="75" spans="2:5" x14ac:dyDescent="0.2">
      <c r="C75" t="str">
        <f>CONCATENATE('Final Balance Sheet'!D51,"*")</f>
        <v>Personal Taxes Payable*</v>
      </c>
      <c r="D75" s="553">
        <f>'Final Balance Sheet'!G51</f>
        <v>0</v>
      </c>
      <c r="E75" s="553">
        <f>'Final Balance Sheet'!G51</f>
        <v>0</v>
      </c>
    </row>
    <row r="76" spans="2:5" x14ac:dyDescent="0.2">
      <c r="C76" t="str">
        <f>CONCATENATE('Final Balance Sheet'!D52,"*")</f>
        <v xml:space="preserve"> Real Estate Loans*</v>
      </c>
      <c r="D76" s="553">
        <f>'Final Balance Sheet'!G52</f>
        <v>0</v>
      </c>
      <c r="E76" s="553">
        <f>LoanPersREEntryProjected+LoanPersREEntryCurrentProjected+LoanProjSumPersRECurr+LoanProjSumPersRERem</f>
        <v>0</v>
      </c>
    </row>
    <row r="77" spans="2:5" x14ac:dyDescent="0.2">
      <c r="C77" t="str">
        <f>CONCATENATE('Final Balance Sheet'!D53,"*")</f>
        <v>Other Personal Liabilities*</v>
      </c>
      <c r="D77" s="553">
        <f>'Final Balance Sheet'!G53</f>
        <v>0</v>
      </c>
      <c r="E77" s="553">
        <f>'Final Balance Sheet'!G53</f>
        <v>0</v>
      </c>
    </row>
    <row r="78" spans="2:5" x14ac:dyDescent="0.2">
      <c r="B78" s="57" t="s">
        <v>386</v>
      </c>
      <c r="D78" s="553">
        <f>SUM(D72:D77)</f>
        <v>0</v>
      </c>
      <c r="E78" s="553">
        <f>SUM(E72:E77)</f>
        <v>0</v>
      </c>
    </row>
    <row r="80" spans="2:5" x14ac:dyDescent="0.2">
      <c r="B80" s="57" t="s">
        <v>387</v>
      </c>
      <c r="D80" s="553">
        <f>D69-D78</f>
        <v>0</v>
      </c>
      <c r="E80" s="553">
        <f>E69-E78</f>
        <v>0</v>
      </c>
    </row>
    <row r="82" spans="2:5" x14ac:dyDescent="0.2">
      <c r="B82" s="57" t="s">
        <v>43</v>
      </c>
      <c r="D82" s="553">
        <f>D57+D80</f>
        <v>0</v>
      </c>
      <c r="E82" s="553">
        <f>E57+E80</f>
        <v>5000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8064A2"/>
  </sheetPr>
  <dimension ref="A1"/>
  <sheetViews>
    <sheetView showGridLines="0" workbookViewId="0"/>
  </sheetViews>
  <sheetFormatPr defaultRowHeight="12.75" x14ac:dyDescent="0.2"/>
  <sheetData/>
  <sheetProtection algorithmName="SHA-512" hashValue="3UWVs8lIhxx69Dcvmh3cIYkxHaNaK/YtMz6XJSDRajbGhrFFGQw30YsbVN49fhsCDM9Y1JMEYk9SsRyKAZNbAw==" saltValue="lDFzue2b8tDJRNiG4HNGaw==" spinCount="100000" sheet="1" objects="1" scenarios="1"/>
  <pageMargins left="0.7" right="0.7" top="0.75" bottom="0.75" header="0.3" footer="0.3"/>
  <pageSetup orientation="landscape"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35521" r:id="rId4" name="Drop Down 1">
              <controlPr locked="0" defaultSize="0" autoLine="0" autoPict="0">
                <anchor moveWithCells="1">
                  <from>
                    <xdr:col>3</xdr:col>
                    <xdr:colOff>104775</xdr:colOff>
                    <xdr:row>0</xdr:row>
                    <xdr:rowOff>152400</xdr:rowOff>
                  </from>
                  <to>
                    <xdr:col>4</xdr:col>
                    <xdr:colOff>561975</xdr:colOff>
                    <xdr:row>4</xdr:row>
                    <xdr:rowOff>57150</xdr:rowOff>
                  </to>
                </anchor>
              </controlPr>
            </control>
          </mc:Choice>
        </mc:AlternateContent>
        <mc:AlternateContent xmlns:mc="http://schemas.openxmlformats.org/markup-compatibility/2006">
          <mc:Choice Requires="x14">
            <control shapeId="235522" r:id="rId5" name="Drop Down 2">
              <controlPr locked="0" defaultSize="0" autoLine="0" autoPict="0">
                <anchor moveWithCells="1">
                  <from>
                    <xdr:col>8</xdr:col>
                    <xdr:colOff>381000</xdr:colOff>
                    <xdr:row>0</xdr:row>
                    <xdr:rowOff>152400</xdr:rowOff>
                  </from>
                  <to>
                    <xdr:col>11</xdr:col>
                    <xdr:colOff>0</xdr:colOff>
                    <xdr:row>4</xdr:row>
                    <xdr:rowOff>57150</xdr:rowOff>
                  </to>
                </anchor>
              </controlPr>
            </control>
          </mc:Choice>
        </mc:AlternateContent>
        <mc:AlternateContent xmlns:mc="http://schemas.openxmlformats.org/markup-compatibility/2006">
          <mc:Choice Requires="x14">
            <control shapeId="235523" r:id="rId6" name="Drop Down 3">
              <controlPr locked="0" defaultSize="0" print="0" autoLine="0" autoPict="0">
                <anchor moveWithCells="1">
                  <from>
                    <xdr:col>13</xdr:col>
                    <xdr:colOff>257175</xdr:colOff>
                    <xdr:row>0</xdr:row>
                    <xdr:rowOff>152400</xdr:rowOff>
                  </from>
                  <to>
                    <xdr:col>16</xdr:col>
                    <xdr:colOff>571500</xdr:colOff>
                    <xdr:row>4</xdr:row>
                    <xdr:rowOff>57150</xdr:rowOff>
                  </to>
                </anchor>
              </controlPr>
            </control>
          </mc:Choice>
        </mc:AlternateContent>
        <mc:AlternateContent xmlns:mc="http://schemas.openxmlformats.org/markup-compatibility/2006">
          <mc:Choice Requires="x14">
            <control shapeId="235524" r:id="rId7" name="Drop Down 4">
              <controlPr locked="0" defaultSize="0" print="0" autoLine="0" autoPict="0">
                <anchor moveWithCells="1">
                  <from>
                    <xdr:col>4</xdr:col>
                    <xdr:colOff>66675</xdr:colOff>
                    <xdr:row>21</xdr:row>
                    <xdr:rowOff>66675</xdr:rowOff>
                  </from>
                  <to>
                    <xdr:col>7</xdr:col>
                    <xdr:colOff>381000</xdr:colOff>
                    <xdr:row>24</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tabColor indexed="11"/>
  </sheetPr>
  <dimension ref="A2:X169"/>
  <sheetViews>
    <sheetView topLeftCell="A148" workbookViewId="0">
      <selection activeCell="K91" sqref="K91"/>
    </sheetView>
  </sheetViews>
  <sheetFormatPr defaultRowHeight="12.75" x14ac:dyDescent="0.2"/>
  <cols>
    <col min="1" max="1" width="17.85546875" customWidth="1"/>
    <col min="4" max="4" width="11.140625" customWidth="1"/>
    <col min="6" max="6" width="38.5703125" bestFit="1" customWidth="1"/>
    <col min="7" max="8" width="38.5703125" customWidth="1"/>
    <col min="9" max="9" width="5.28515625" bestFit="1" customWidth="1"/>
    <col min="10" max="10" width="19.28515625" customWidth="1"/>
    <col min="11" max="11" width="15.5703125" customWidth="1"/>
    <col min="12" max="12" width="39.42578125" bestFit="1" customWidth="1"/>
    <col min="13" max="13" width="22.85546875" customWidth="1"/>
    <col min="16" max="16" width="18.7109375" customWidth="1"/>
    <col min="17" max="17" width="14.140625" customWidth="1"/>
    <col min="18" max="18" width="11.7109375" bestFit="1" customWidth="1"/>
    <col min="19" max="19" width="10.140625" customWidth="1"/>
    <col min="20" max="20" width="9.42578125" bestFit="1" customWidth="1"/>
    <col min="21" max="21" width="7.140625" customWidth="1"/>
    <col min="22" max="22" width="10.7109375" customWidth="1"/>
    <col min="23" max="23" width="12" bestFit="1" customWidth="1"/>
    <col min="24" max="24" width="6" bestFit="1" customWidth="1"/>
    <col min="25" max="26" width="2" customWidth="1"/>
    <col min="27" max="35" width="3" customWidth="1"/>
    <col min="36" max="36" width="4" customWidth="1"/>
    <col min="37" max="48" width="5" customWidth="1"/>
    <col min="49" max="55" width="6" customWidth="1"/>
    <col min="56" max="58" width="7" customWidth="1"/>
    <col min="59" max="59" width="10.5703125" bestFit="1" customWidth="1"/>
  </cols>
  <sheetData>
    <row r="2" spans="1:14" x14ac:dyDescent="0.2">
      <c r="N2">
        <v>1</v>
      </c>
    </row>
    <row r="3" spans="1:14" x14ac:dyDescent="0.2">
      <c r="A3" t="s">
        <v>98</v>
      </c>
      <c r="C3" t="s">
        <v>105</v>
      </c>
      <c r="F3" s="57" t="s">
        <v>221</v>
      </c>
      <c r="G3" s="57" t="s">
        <v>222</v>
      </c>
      <c r="H3" s="57"/>
      <c r="I3" s="57"/>
    </row>
    <row r="4" spans="1:14" x14ac:dyDescent="0.2">
      <c r="A4" t="s">
        <v>99</v>
      </c>
      <c r="B4" s="57" t="s">
        <v>182</v>
      </c>
      <c r="C4" s="57" t="s">
        <v>182</v>
      </c>
      <c r="D4">
        <v>1</v>
      </c>
      <c r="E4" t="s">
        <v>4</v>
      </c>
      <c r="F4" t="str">
        <f>CONCATENATE($E$4,$E$5,$E$6,$E$7,$E$8,$E$9,$E$10,$E$11,$E$12,$E$13,$E$14,$E$15)</f>
        <v>JanFebMarAprMayJunJulAugSepOctNovDec</v>
      </c>
      <c r="G4" t="str">
        <f>CONCATENATE($E$4)</f>
        <v>Jan</v>
      </c>
    </row>
    <row r="5" spans="1:14" x14ac:dyDescent="0.2">
      <c r="A5" t="s">
        <v>100</v>
      </c>
      <c r="B5" s="57" t="s">
        <v>262</v>
      </c>
      <c r="C5" s="57" t="s">
        <v>262</v>
      </c>
      <c r="D5">
        <v>2</v>
      </c>
      <c r="E5" t="s">
        <v>5</v>
      </c>
      <c r="F5" t="str">
        <f>CONCATENATE($E$5,$E$6,$E$7,$E$8,$E$9,$E$10,$E$11,$E$12,$E$13,$E$14,$E$15)</f>
        <v>FebMarAprMayJunJulAugSepOctNovDec</v>
      </c>
      <c r="G5" t="str">
        <f>CONCATENATE($E$4,$E$5)</f>
        <v>JanFeb</v>
      </c>
    </row>
    <row r="6" spans="1:14" x14ac:dyDescent="0.2">
      <c r="A6" t="s">
        <v>102</v>
      </c>
      <c r="B6" s="57" t="s">
        <v>184</v>
      </c>
      <c r="C6" s="57" t="s">
        <v>184</v>
      </c>
      <c r="D6">
        <v>3</v>
      </c>
      <c r="E6" t="s">
        <v>6</v>
      </c>
      <c r="F6" t="str">
        <f>CONCATENATE($E$6,$E$7,$E$8,$E$9,$E$10,$E$11,$E$12,$E$13,$E$14,$E$15)</f>
        <v>MarAprMayJunJulAugSepOctNovDec</v>
      </c>
      <c r="G6" t="str">
        <f>CONCATENATE($E$4,$E$5,$E$6)</f>
        <v>JanFebMar</v>
      </c>
      <c r="J6">
        <v>1</v>
      </c>
      <c r="K6" s="57" t="s">
        <v>155</v>
      </c>
    </row>
    <row r="7" spans="1:14" x14ac:dyDescent="0.2">
      <c r="A7" t="s">
        <v>104</v>
      </c>
      <c r="B7" s="57" t="s">
        <v>185</v>
      </c>
      <c r="C7" s="57" t="s">
        <v>185</v>
      </c>
      <c r="D7">
        <v>4</v>
      </c>
      <c r="E7" t="s">
        <v>7</v>
      </c>
      <c r="F7" t="str">
        <f>CONCATENATE($E$7,$E$8,$E$9,$E$10,$E$11,$E$12,$E$13,$E$14,$E$15)</f>
        <v>AprMayJunJulAugSepOctNovDec</v>
      </c>
      <c r="G7" t="str">
        <f>CONCATENATE($E$4,$E$5,$E$6,$E$7)</f>
        <v>JanFebMarApr</v>
      </c>
      <c r="J7">
        <v>2</v>
      </c>
      <c r="K7" s="57" t="s">
        <v>157</v>
      </c>
    </row>
    <row r="8" spans="1:14" x14ac:dyDescent="0.2">
      <c r="B8" s="57" t="s">
        <v>3</v>
      </c>
      <c r="C8" s="57" t="s">
        <v>3</v>
      </c>
      <c r="D8">
        <v>5</v>
      </c>
      <c r="E8" t="s">
        <v>3</v>
      </c>
      <c r="F8" t="str">
        <f>CONCATENATE($E$8,$E$9,$E$10,$E$11,$E$12,$E$13,$E$14,$E$15)</f>
        <v>MayJunJulAugSepOctNovDec</v>
      </c>
      <c r="G8" t="str">
        <f>CONCATENATE($E$4,$E$5,$E$6,$E$7,$E$8)</f>
        <v>JanFebMarAprMay</v>
      </c>
    </row>
    <row r="9" spans="1:14" x14ac:dyDescent="0.2">
      <c r="B9" s="57" t="s">
        <v>186</v>
      </c>
      <c r="C9" s="57" t="s">
        <v>186</v>
      </c>
      <c r="D9">
        <v>6</v>
      </c>
      <c r="E9" t="s">
        <v>8</v>
      </c>
      <c r="F9" t="str">
        <f>CONCATENATE($E$9,$E$10,$E$11,$E$12,$E$13,$E$14,$E$15)</f>
        <v>JunJulAugSepOctNovDec</v>
      </c>
      <c r="G9" t="str">
        <f>CONCATENATE($E$4,$E$5,$E$6,$E$7,$E$8,$E$9)</f>
        <v>JanFebMarAprMayJun</v>
      </c>
    </row>
    <row r="10" spans="1:14" ht="13.5" thickBot="1" x14ac:dyDescent="0.25">
      <c r="B10" s="57" t="s">
        <v>187</v>
      </c>
      <c r="C10" s="57" t="s">
        <v>187</v>
      </c>
      <c r="D10">
        <v>7</v>
      </c>
      <c r="E10" t="s">
        <v>9</v>
      </c>
      <c r="F10" t="str">
        <f>CONCATENATE($E$10,$E$11,$E$12,$E$13,$E$14,$E$15)</f>
        <v>JulAugSepOctNovDec</v>
      </c>
      <c r="G10" t="str">
        <f>CONCATENATE($E$4,$E$5,$E$6,$E$7,$E$8,$E$9,$E$10)</f>
        <v>JanFebMarAprMayJunJul</v>
      </c>
      <c r="K10" s="731" t="s">
        <v>172</v>
      </c>
      <c r="M10" s="407" t="s">
        <v>210</v>
      </c>
    </row>
    <row r="11" spans="1:14" ht="13.5" thickTop="1" x14ac:dyDescent="0.2">
      <c r="B11" s="57" t="s">
        <v>188</v>
      </c>
      <c r="C11" s="57" t="s">
        <v>188</v>
      </c>
      <c r="D11">
        <v>8</v>
      </c>
      <c r="E11" t="s">
        <v>10</v>
      </c>
      <c r="F11" t="str">
        <f>CONCATENATE($E$11,$E$12,$E$13,$E$14,$E$15)</f>
        <v>AugSepOctNovDec</v>
      </c>
      <c r="G11" t="str">
        <f>CONCATENATE($E$4,$E$5,$E$6,$E$7,$E$8,$E$9,$E$10,$E$11)</f>
        <v>JanFebMarAprMayJunJulAug</v>
      </c>
      <c r="J11">
        <v>1</v>
      </c>
      <c r="K11" s="409" t="s">
        <v>405</v>
      </c>
      <c r="M11" s="409" t="s">
        <v>405</v>
      </c>
    </row>
    <row r="12" spans="1:14" x14ac:dyDescent="0.2">
      <c r="B12" s="57" t="s">
        <v>189</v>
      </c>
      <c r="C12" s="57" t="s">
        <v>189</v>
      </c>
      <c r="D12">
        <v>9</v>
      </c>
      <c r="E12" t="s">
        <v>11</v>
      </c>
      <c r="F12" t="str">
        <f>CONCATENATE($E$12,$E$13,$E$14,$E$15)</f>
        <v>SepOctNovDec</v>
      </c>
      <c r="G12" t="str">
        <f>CONCATENATE($E$4,$E$5,$E$6,$E$7,$E$8,$E$9,$E$10,$E$11,$E$12)</f>
        <v>JanFebMarAprMayJunJulAugSep</v>
      </c>
      <c r="J12">
        <v>2</v>
      </c>
      <c r="K12" s="726" t="str">
        <f>IF(HowSell="Direct to Processor","","Direct Mkt")</f>
        <v/>
      </c>
      <c r="M12" s="411" t="s">
        <v>173</v>
      </c>
    </row>
    <row r="13" spans="1:14" x14ac:dyDescent="0.2">
      <c r="B13" s="57" t="s">
        <v>190</v>
      </c>
      <c r="C13" s="57" t="s">
        <v>190</v>
      </c>
      <c r="D13">
        <v>10</v>
      </c>
      <c r="E13" t="s">
        <v>12</v>
      </c>
      <c r="F13" t="str">
        <f>CONCATENATE($E$13,$E$14,$E$15)</f>
        <v>OctNovDec</v>
      </c>
      <c r="G13" t="str">
        <f>CONCATENATE($E$4,$E$5,$E$6,$E$7,$E$8,$E$9,$E$10,$E$11,$E$12,$E$13)</f>
        <v>JanFebMarAprMayJunJulAugSepOct</v>
      </c>
      <c r="M13" s="413" t="s">
        <v>406</v>
      </c>
    </row>
    <row r="14" spans="1:14" x14ac:dyDescent="0.2">
      <c r="B14" s="57" t="s">
        <v>191</v>
      </c>
      <c r="C14" s="57" t="s">
        <v>191</v>
      </c>
      <c r="D14">
        <v>11</v>
      </c>
      <c r="E14" t="s">
        <v>13</v>
      </c>
      <c r="F14" t="str">
        <f>CONCATENATE($E$14,$E$15)</f>
        <v>NovDec</v>
      </c>
      <c r="G14" t="str">
        <f>CONCATENATE($E$4,$E$5,$E$6,$E$7,$E$8,$E$9,$E$10,$E$11,$E$12,$E$13,$E$14)</f>
        <v>JanFebMarAprMayJunJulAugSepOctNov</v>
      </c>
      <c r="M14" s="411" t="s">
        <v>211</v>
      </c>
    </row>
    <row r="15" spans="1:14" x14ac:dyDescent="0.2">
      <c r="B15" s="57" t="s">
        <v>192</v>
      </c>
      <c r="C15" s="57" t="s">
        <v>192</v>
      </c>
      <c r="D15">
        <v>12</v>
      </c>
      <c r="E15" t="s">
        <v>14</v>
      </c>
      <c r="F15" t="str">
        <f>CONCATENATE($E$15)</f>
        <v>Dec</v>
      </c>
      <c r="G15" t="str">
        <f>CONCATENATE($E$4,$E$5,$E$6,$E$7,$E$8,$E$9,$E$10,$E$11,$E$12,$E$13,$E$14,$E$15)</f>
        <v>JanFebMarAprMayJunJulAugSepOctNovDec</v>
      </c>
      <c r="M15" s="413" t="s">
        <v>174</v>
      </c>
    </row>
    <row r="16" spans="1:14" x14ac:dyDescent="0.2">
      <c r="M16" s="411" t="s">
        <v>229</v>
      </c>
    </row>
    <row r="17" spans="1:11" ht="13.5" thickBot="1" x14ac:dyDescent="0.25">
      <c r="A17" s="407" t="s">
        <v>118</v>
      </c>
      <c r="B17" s="408" t="s">
        <v>125</v>
      </c>
      <c r="C17" s="408" t="s">
        <v>156</v>
      </c>
      <c r="D17" s="407" t="s">
        <v>484</v>
      </c>
    </row>
    <row r="18" spans="1:11" ht="13.5" thickTop="1" x14ac:dyDescent="0.2">
      <c r="A18" s="409" t="s">
        <v>116</v>
      </c>
      <c r="B18" s="410">
        <v>1</v>
      </c>
      <c r="C18" s="410" t="s">
        <v>359</v>
      </c>
      <c r="D18" s="409" t="s">
        <v>485</v>
      </c>
    </row>
    <row r="19" spans="1:11" x14ac:dyDescent="0.2">
      <c r="A19" s="411" t="s">
        <v>117</v>
      </c>
      <c r="B19" s="412">
        <v>2</v>
      </c>
      <c r="C19" s="412" t="s">
        <v>117</v>
      </c>
      <c r="D19" s="411" t="str">
        <f>IF(HowSell="Direct to Processor","","Just direct marketing")</f>
        <v/>
      </c>
    </row>
    <row r="20" spans="1:11" x14ac:dyDescent="0.2">
      <c r="A20" s="411" t="s">
        <v>360</v>
      </c>
      <c r="B20" s="412">
        <v>3</v>
      </c>
      <c r="C20" s="412" t="s">
        <v>360</v>
      </c>
      <c r="D20" s="413" t="str">
        <f>IF(HowSell="Direct to Processor","","Both / Either")</f>
        <v/>
      </c>
    </row>
    <row r="21" spans="1:11" x14ac:dyDescent="0.2">
      <c r="A21" s="413"/>
      <c r="B21" s="406">
        <v>3</v>
      </c>
      <c r="C21" s="412"/>
    </row>
    <row r="25" spans="1:11" ht="10.5" customHeight="1" thickBot="1" x14ac:dyDescent="0.25">
      <c r="B25">
        <v>1</v>
      </c>
      <c r="C25" s="57" t="s">
        <v>104</v>
      </c>
      <c r="J25" s="731" t="s">
        <v>196</v>
      </c>
      <c r="K25" s="690" t="s">
        <v>420</v>
      </c>
    </row>
    <row r="26" spans="1:11" ht="10.5" customHeight="1" thickTop="1" x14ac:dyDescent="0.2">
      <c r="B26">
        <v>2</v>
      </c>
      <c r="C26" s="57" t="s">
        <v>99</v>
      </c>
      <c r="J26" s="727" t="s">
        <v>4</v>
      </c>
      <c r="K26" s="693">
        <v>12</v>
      </c>
    </row>
    <row r="27" spans="1:11" x14ac:dyDescent="0.2">
      <c r="J27" s="726" t="s">
        <v>5</v>
      </c>
      <c r="K27" s="687">
        <v>11</v>
      </c>
    </row>
    <row r="28" spans="1:11" x14ac:dyDescent="0.2">
      <c r="D28" t="e">
        <f>IF(ProjTime="Annual","AnnualIcon","MonthlyIcon1")</f>
        <v>#REF!</v>
      </c>
      <c r="J28" s="728" t="s">
        <v>6</v>
      </c>
      <c r="K28" s="686">
        <v>10</v>
      </c>
    </row>
    <row r="29" spans="1:11" x14ac:dyDescent="0.2">
      <c r="J29" s="726" t="s">
        <v>7</v>
      </c>
      <c r="K29" s="687">
        <v>9</v>
      </c>
    </row>
    <row r="30" spans="1:11" x14ac:dyDescent="0.2">
      <c r="J30" s="728" t="s">
        <v>3</v>
      </c>
      <c r="K30" s="686">
        <v>8</v>
      </c>
    </row>
    <row r="31" spans="1:11" ht="13.5" thickBot="1" x14ac:dyDescent="0.25">
      <c r="A31" s="407" t="s">
        <v>329</v>
      </c>
      <c r="B31" s="408" t="s">
        <v>125</v>
      </c>
      <c r="C31" s="408" t="s">
        <v>156</v>
      </c>
      <c r="J31" s="726" t="s">
        <v>8</v>
      </c>
      <c r="K31" s="687">
        <v>7</v>
      </c>
    </row>
    <row r="32" spans="1:11" ht="13.5" thickTop="1" x14ac:dyDescent="0.2">
      <c r="A32" s="727">
        <f>Year1</f>
        <v>0</v>
      </c>
      <c r="B32" s="693">
        <v>1</v>
      </c>
      <c r="C32" s="693">
        <f>Inputs!$A32</f>
        <v>0</v>
      </c>
      <c r="J32" s="728" t="s">
        <v>9</v>
      </c>
      <c r="K32" s="686">
        <v>6</v>
      </c>
    </row>
    <row r="33" spans="1:21" x14ac:dyDescent="0.2">
      <c r="A33" s="726" t="str">
        <f>Year2</f>
        <v>1 Projected</v>
      </c>
      <c r="B33" s="687">
        <v>2</v>
      </c>
      <c r="C33" s="687" t="str">
        <f>Inputs!$A33</f>
        <v>1 Projected</v>
      </c>
      <c r="J33" s="726" t="s">
        <v>10</v>
      </c>
      <c r="K33" s="687">
        <v>5</v>
      </c>
    </row>
    <row r="34" spans="1:21" x14ac:dyDescent="0.2">
      <c r="J34" s="728" t="s">
        <v>11</v>
      </c>
      <c r="K34" s="686">
        <v>4</v>
      </c>
    </row>
    <row r="35" spans="1:21" x14ac:dyDescent="0.2">
      <c r="J35" s="726" t="s">
        <v>12</v>
      </c>
      <c r="K35" s="687">
        <v>3</v>
      </c>
    </row>
    <row r="36" spans="1:21" x14ac:dyDescent="0.2">
      <c r="J36" s="728" t="s">
        <v>13</v>
      </c>
      <c r="K36" s="686">
        <v>2</v>
      </c>
    </row>
    <row r="37" spans="1:21" x14ac:dyDescent="0.2">
      <c r="A37" s="57">
        <v>1</v>
      </c>
      <c r="J37" s="726" t="s">
        <v>14</v>
      </c>
      <c r="K37" s="687">
        <v>1</v>
      </c>
    </row>
    <row r="38" spans="1:21" x14ac:dyDescent="0.2">
      <c r="A38">
        <v>2</v>
      </c>
    </row>
    <row r="39" spans="1:21" x14ac:dyDescent="0.2">
      <c r="A39">
        <v>3</v>
      </c>
    </row>
    <row r="40" spans="1:21" x14ac:dyDescent="0.2">
      <c r="A40">
        <v>4</v>
      </c>
    </row>
    <row r="41" spans="1:21" x14ac:dyDescent="0.2">
      <c r="A41">
        <v>5</v>
      </c>
    </row>
    <row r="42" spans="1:21" ht="13.5" thickBot="1" x14ac:dyDescent="0.25">
      <c r="A42">
        <v>6</v>
      </c>
      <c r="J42" s="688" t="s">
        <v>450</v>
      </c>
      <c r="K42" s="689" t="s">
        <v>451</v>
      </c>
      <c r="L42" s="690" t="s">
        <v>340</v>
      </c>
      <c r="M42" s="408" t="s">
        <v>455</v>
      </c>
      <c r="N42" s="408" t="s">
        <v>339</v>
      </c>
      <c r="O42" s="408" t="s">
        <v>335</v>
      </c>
      <c r="P42" s="408" t="s">
        <v>460</v>
      </c>
      <c r="Q42" s="408" t="s">
        <v>475</v>
      </c>
      <c r="R42" s="408" t="s">
        <v>125</v>
      </c>
      <c r="S42" s="408" t="s">
        <v>496</v>
      </c>
      <c r="T42" s="408" t="s">
        <v>490</v>
      </c>
      <c r="U42" s="408" t="s">
        <v>491</v>
      </c>
    </row>
    <row r="43" spans="1:21" ht="77.25" thickTop="1" x14ac:dyDescent="0.2">
      <c r="J43" s="691" t="s">
        <v>78</v>
      </c>
      <c r="K43" s="692">
        <f>IF(Inputs!$Q43="No",IF(RatioCurrentGraph&gt;Inputs!$N43,Inputs!$N43,IF(RatioCurrentGraph&lt;Inputs!$O43,Inputs!$O43,RatioCurrentGraph)),IF(RatioCurrentGraph&lt;Inputs!$N43,Inputs!$N43,IF(RatioCurrentGraph&gt;Inputs!$O43,Inputs!$O43,RatioCurrentGraph)))</f>
        <v>0</v>
      </c>
      <c r="L43" s="693" t="str">
        <f>RatioCurrentLabel</f>
        <v>0:1</v>
      </c>
      <c r="M43" s="694" t="s">
        <v>461</v>
      </c>
      <c r="N43" s="693">
        <v>2.7</v>
      </c>
      <c r="O43" s="693">
        <v>0</v>
      </c>
      <c r="P43" s="693">
        <f>0.05*Inputs!$K43</f>
        <v>0</v>
      </c>
      <c r="Q43" s="410" t="s">
        <v>446</v>
      </c>
      <c r="R43" s="410">
        <f>RatioCurrentGraph</f>
        <v>0</v>
      </c>
      <c r="S43" s="695">
        <v>1.65</v>
      </c>
      <c r="T43" s="695">
        <f>SliderCurrentGraph</f>
        <v>-0.7</v>
      </c>
      <c r="U43" s="693">
        <v>180</v>
      </c>
    </row>
    <row r="44" spans="1:21" ht="13.5" thickBot="1" x14ac:dyDescent="0.25">
      <c r="F44" s="731" t="s">
        <v>125</v>
      </c>
      <c r="G44" s="732" t="s">
        <v>156</v>
      </c>
      <c r="H44" s="739"/>
      <c r="J44" s="696" t="s">
        <v>358</v>
      </c>
      <c r="K44" s="697">
        <f>IF(Inputs!$Q44="No",IF(RatioWCGRGraph&gt;Inputs!$N44,Inputs!$N44,IF(RatioWCGRGraph&lt;Inputs!$O44,Inputs!$O44,RatioWCGRGraph)),IF(RatioWCGRGraph&lt;Inputs!$N44,Inputs!$N44,IF(RatioWCGRGraph&gt;Inputs!$O44,Inputs!$O44,RatioWCGRGraph)))</f>
        <v>0</v>
      </c>
      <c r="L44" s="698">
        <f>RatioWCGRLabel</f>
        <v>0</v>
      </c>
      <c r="M44" s="699" t="s">
        <v>462</v>
      </c>
      <c r="N44" s="700">
        <v>0.45</v>
      </c>
      <c r="O44" s="700">
        <v>0</v>
      </c>
      <c r="P44" s="687">
        <f>0.05*Inputs!$K44</f>
        <v>0</v>
      </c>
      <c r="Q44" s="412" t="s">
        <v>476</v>
      </c>
      <c r="R44" s="697">
        <f>RatioWCGRGraph</f>
        <v>0</v>
      </c>
      <c r="S44" s="701">
        <v>0.2</v>
      </c>
      <c r="T44" s="702">
        <f>SliderWCGRGraph</f>
        <v>0</v>
      </c>
      <c r="U44" s="687">
        <v>180</v>
      </c>
    </row>
    <row r="45" spans="1:21" ht="13.5" thickTop="1" x14ac:dyDescent="0.2">
      <c r="F45" s="727" t="str">
        <f>'Final Income and Cash Flows'!B30</f>
        <v>Total Ag Income</v>
      </c>
      <c r="G45" s="733">
        <f>IF(ScorecardGraphsChoice=Year1,'Final Income and Cash Flows'!C30,'Final Income and Cash Flows'!D30)</f>
        <v>0</v>
      </c>
      <c r="H45" s="740"/>
      <c r="J45" s="703" t="s">
        <v>343</v>
      </c>
      <c r="K45" s="704">
        <f>IF(Inputs!$Q45="No",IF(RatioDtoAGraph&gt;Inputs!$N45,Inputs!$N45,IF(RatioDtoAGraph&lt;Inputs!$O45,Inputs!$O45,RatioDtoAGraph)),IF(RatioDtoAGraph&lt;Inputs!$N45,Inputs!$N45,IF(RatioDtoAGraph&gt;Inputs!$O45,Inputs!$O45,RatioDtoAGraph)))</f>
        <v>0.15</v>
      </c>
      <c r="L45" s="705">
        <f>RatioDtoALabel</f>
        <v>0</v>
      </c>
      <c r="M45" s="706" t="s">
        <v>464</v>
      </c>
      <c r="N45" s="707">
        <v>0.15</v>
      </c>
      <c r="O45" s="707">
        <v>0.75</v>
      </c>
      <c r="P45" s="686">
        <f>0.05*Inputs!$K45</f>
        <v>7.4999999999999997E-3</v>
      </c>
      <c r="Q45" s="406" t="s">
        <v>367</v>
      </c>
      <c r="R45" s="704">
        <f>RatioDtoAGraph</f>
        <v>0</v>
      </c>
      <c r="S45" s="708">
        <v>0.45</v>
      </c>
      <c r="T45" s="709">
        <f>SliderDtoAGraph</f>
        <v>8.8888888888888893</v>
      </c>
      <c r="U45" s="686">
        <v>180</v>
      </c>
    </row>
    <row r="46" spans="1:21" x14ac:dyDescent="0.2">
      <c r="F46" s="726" t="str">
        <f>'Final Income and Cash Flows'!B60</f>
        <v>Total Ag Direct Expenses</v>
      </c>
      <c r="G46" s="734">
        <f>IF(ScorecardGraphsChoice=Year1,'Final Income and Cash Flows'!C60,'Final Income and Cash Flows'!D60)</f>
        <v>0</v>
      </c>
      <c r="H46" s="740"/>
      <c r="J46" s="710" t="s">
        <v>344</v>
      </c>
      <c r="K46" s="697">
        <f>IF(Inputs!$Q46="No",IF(RatioEtoAGraph&gt;Inputs!$N46,Inputs!$N46,IF(RatioEtoAGraph&lt;Inputs!$O46,Inputs!$O46,RatioEtoAGraph)),IF(RatioEtoAGraph&lt;Inputs!$N46,Inputs!$N46,IF(RatioEtoAGraph&gt;Inputs!$O46,Inputs!$O46,RatioEtoAGraph)))</f>
        <v>0.85</v>
      </c>
      <c r="L46" s="698">
        <f>RatioEtoALabel</f>
        <v>1</v>
      </c>
      <c r="M46" s="699" t="s">
        <v>465</v>
      </c>
      <c r="N46" s="700">
        <v>0.85</v>
      </c>
      <c r="O46" s="700">
        <v>0</v>
      </c>
      <c r="P46" s="687">
        <f>0.05*Inputs!$K46</f>
        <v>4.2500000000000003E-2</v>
      </c>
      <c r="Q46" s="412" t="s">
        <v>476</v>
      </c>
      <c r="R46" s="697">
        <f>RatioEtoAGraph</f>
        <v>0.90909090909090906</v>
      </c>
      <c r="S46" s="711">
        <v>0.55000000000000004</v>
      </c>
      <c r="T46" s="702">
        <f>SliderEtoAGraph</f>
        <v>9.0909090909090899</v>
      </c>
      <c r="U46" s="687">
        <v>280</v>
      </c>
    </row>
    <row r="47" spans="1:21" x14ac:dyDescent="0.2">
      <c r="F47" s="735" t="str">
        <f>'Final Income and Cash Flows'!B75</f>
        <v>Total Ag Overhead Expenses</v>
      </c>
      <c r="G47" s="736">
        <f>IF(ScorecardGraphsChoice=Year1,'Final Income and Cash Flows'!C75,'Final Income and Cash Flows'!D75)</f>
        <v>0</v>
      </c>
      <c r="H47" s="740"/>
      <c r="J47" s="703" t="s">
        <v>81</v>
      </c>
      <c r="K47" s="712">
        <f>IF(Inputs!$Q47="No",IF(RatiDtoEAGraph&gt;Inputs!$N47,Inputs!$N47,IF(RatiDtoEAGraph&lt;Inputs!$O47,Inputs!$O47,RatiDtoEAGraph)),IF(RatiDtoEAGraph&lt;Inputs!$N47,Inputs!$N47,IF(RatiDtoEAGraph&gt;Inputs!$O47,Inputs!$O47,RatiDtoEAGraph)))/(('Financial Scorecard'!J20*2))</f>
        <v>0.1295336787564767</v>
      </c>
      <c r="L47" s="686" t="str">
        <f>RatiDtoEALabel</f>
        <v>0:1</v>
      </c>
      <c r="M47" s="706" t="s">
        <v>463</v>
      </c>
      <c r="N47" s="686">
        <v>0.25</v>
      </c>
      <c r="O47" s="686">
        <v>3</v>
      </c>
      <c r="P47" s="686">
        <f>0.05*Inputs!$K47</f>
        <v>6.4766839378238355E-3</v>
      </c>
      <c r="Q47" s="406" t="s">
        <v>367</v>
      </c>
      <c r="R47" s="712">
        <f>RatiDtoEAGraph</f>
        <v>0</v>
      </c>
      <c r="S47" s="713">
        <v>0.96499999999999997</v>
      </c>
      <c r="T47" s="709">
        <f>SliderDtoEAGraph</f>
        <v>9.65</v>
      </c>
      <c r="U47" s="686">
        <v>360</v>
      </c>
    </row>
    <row r="48" spans="1:21" x14ac:dyDescent="0.2">
      <c r="F48" s="726" t="str">
        <f>IF(HowSell="Direct to Processor","",'Final Income and Cash Flows'!B98)</f>
        <v/>
      </c>
      <c r="G48" s="734" t="str">
        <f>IF(HowSell="Direct to Processor","",IF(ScorecardGraphsChoice=Year1,'Final Income and Cash Flows'!C98,'Final Income and Cash Flows'!D98))</f>
        <v/>
      </c>
      <c r="H48" s="740"/>
      <c r="J48" s="710" t="s">
        <v>346</v>
      </c>
      <c r="K48" s="711">
        <f>IF(Inputs!$Q48="No",IF(RatioROAGraph&gt;Inputs!$N48,Inputs!$N48,IF(RatioROAGraph&lt;Inputs!$O48,Inputs!$O48,RatioROAGraph)),IF(RatioROAGraph&lt;Inputs!$N48,Inputs!$N48,IF(RatioROAGraph&gt;Inputs!$O48,Inputs!$O48,RatioROAGraph)))</f>
        <v>0.01</v>
      </c>
      <c r="L48" s="699">
        <f>RatioROALabel</f>
        <v>0</v>
      </c>
      <c r="M48" s="699" t="s">
        <v>467</v>
      </c>
      <c r="N48" s="714">
        <v>0.12</v>
      </c>
      <c r="O48" s="714">
        <v>0.01</v>
      </c>
      <c r="P48" s="412">
        <f>0.05*Inputs!$K48</f>
        <v>5.0000000000000001E-4</v>
      </c>
      <c r="Q48" s="412" t="s">
        <v>476</v>
      </c>
      <c r="R48" s="711">
        <f>RatioROAGraph</f>
        <v>0</v>
      </c>
      <c r="S48" s="711">
        <v>0.06</v>
      </c>
      <c r="T48" s="715">
        <f>SliderROAGraph</f>
        <v>0</v>
      </c>
      <c r="U48" s="412">
        <v>180</v>
      </c>
    </row>
    <row r="49" spans="4:24" x14ac:dyDescent="0.2">
      <c r="F49" s="728" t="str">
        <f>IF(HowSell="Direct to Processor","",'Final Income and Cash Flows'!B111)</f>
        <v/>
      </c>
      <c r="G49" s="736" t="str">
        <f>IF(HowSell="Direct to Processor","",IF(ScorecardGraphsChoice=Year1,'Final Income and Cash Flows'!C111,'Final Income and Cash Flows'!D111))</f>
        <v/>
      </c>
      <c r="H49" s="740"/>
      <c r="J49" s="703" t="s">
        <v>347</v>
      </c>
      <c r="K49" s="713">
        <f>IF(Inputs!$Q49="No",IF(RatioROEGraph&gt;Inputs!$N49,Inputs!$N49,IF(RatioROEGraph&lt;Inputs!$O49,Inputs!$O49,RatioROEGraph)),IF(RatioROEGraph&lt;Inputs!$N49,Inputs!$N49,IF(RatioROEGraph&gt;Inputs!$O49,Inputs!$O49,RatioROEGraph)))</f>
        <v>0.01</v>
      </c>
      <c r="L49" s="706">
        <f>RatioROELabel</f>
        <v>0</v>
      </c>
      <c r="M49" s="706" t="s">
        <v>466</v>
      </c>
      <c r="N49" s="716">
        <v>0.14000000000000001</v>
      </c>
      <c r="O49" s="716">
        <v>0.01</v>
      </c>
      <c r="P49" s="406">
        <f>0.05*Inputs!$K49</f>
        <v>5.0000000000000001E-4</v>
      </c>
      <c r="Q49" s="406" t="s">
        <v>446</v>
      </c>
      <c r="R49" s="713">
        <f>RatioROEGraph</f>
        <v>0</v>
      </c>
      <c r="S49" s="713">
        <v>7.0000000000000007E-2</v>
      </c>
      <c r="T49" s="717">
        <f>SliderROEGraph</f>
        <v>0</v>
      </c>
      <c r="U49" s="406">
        <v>180</v>
      </c>
    </row>
    <row r="50" spans="4:24" ht="30.4" customHeight="1" x14ac:dyDescent="0.2">
      <c r="F50" s="726" t="str">
        <f>IF(HowSell="Direct to Processor","",'Final Income and Cash Flows'!B122)</f>
        <v/>
      </c>
      <c r="G50" s="734" t="str">
        <f>IF(HowSell="Direct to Processor","",IF(ScorecardGraphsChoice=Year1,'Final Income and Cash Flows'!C122,'Final Income and Cash Flows'!D122))</f>
        <v/>
      </c>
      <c r="H50" s="740"/>
      <c r="J50" s="710" t="s">
        <v>348</v>
      </c>
      <c r="K50" s="711">
        <f>IF(Inputs!$Q50="No",IF(RatioOpProfitGraph&gt;Inputs!$N50,Inputs!$N50,IF(RatioOpProfitGraph&lt;Inputs!$O50,Inputs!$O50,RatioOpProfitGraph)),IF(RatioOpProfitGraph&lt;Inputs!$N50,Inputs!$N50,IF(RatioOpProfitGraph&gt;Inputs!$O50,Inputs!$O50,RatioOpProfitGraph)))</f>
        <v>0.05</v>
      </c>
      <c r="L50" s="699">
        <f>RatioOpProfitLabel</f>
        <v>0</v>
      </c>
      <c r="M50" s="718" t="s">
        <v>470</v>
      </c>
      <c r="N50" s="714">
        <v>0.315</v>
      </c>
      <c r="O50" s="714">
        <v>0.05</v>
      </c>
      <c r="P50" s="412">
        <f>0.05*Inputs!$K50</f>
        <v>2.5000000000000005E-3</v>
      </c>
      <c r="Q50" s="412" t="s">
        <v>446</v>
      </c>
      <c r="R50" s="711">
        <f>RatioOpProfitGraph</f>
        <v>0</v>
      </c>
      <c r="S50" s="715">
        <v>0.2</v>
      </c>
      <c r="T50" s="715">
        <f>SliderOpProfitGraph</f>
        <v>0</v>
      </c>
      <c r="U50" s="412">
        <v>400</v>
      </c>
    </row>
    <row r="51" spans="4:24" x14ac:dyDescent="0.2">
      <c r="F51" s="728" t="s">
        <v>500</v>
      </c>
      <c r="G51" s="685">
        <f>IF(HowSell="Direct to Consumer","",IF(ScorecardGraphsChoice=Year1,'Final Income and Cash Flows'!C79,'Final Income and Cash Flows'!D79))</f>
        <v>0</v>
      </c>
      <c r="H51" s="741"/>
      <c r="J51" s="719" t="s">
        <v>350</v>
      </c>
      <c r="K51" s="720">
        <f>IF(Inputs!$Q51="No",IF(RatioTDCProfitGraph&gt;Inputs!$N51,Inputs!$N51,IF(RatioTDCProfitGraph&lt;Inputs!$O51,Inputs!$O51,RatioTDCProfitGraph)),IF(RatioTDCProfitGraph&lt;Inputs!$N51,Inputs!$N51,IF(RatioTDCProfitGraph&gt;Inputs!$O51,Inputs!$O51,RatioTDCProfitGraph)))*IF(RatioTDCProfitGraph&gt;Inputs!$S51,1.05,0.95)</f>
        <v>0.47499999999999998</v>
      </c>
      <c r="L51" s="721" t="str">
        <f>RatioTDCProfitLabel</f>
        <v>0:1</v>
      </c>
      <c r="M51" s="722" t="s">
        <v>468</v>
      </c>
      <c r="N51" s="721">
        <v>2.35</v>
      </c>
      <c r="O51" s="721">
        <v>0.5</v>
      </c>
      <c r="P51" s="721">
        <f>0.05*Inputs!$K51</f>
        <v>2.375E-2</v>
      </c>
      <c r="Q51" s="721" t="s">
        <v>476</v>
      </c>
      <c r="R51" s="720">
        <f>RatioTDCProfitGraph</f>
        <v>0</v>
      </c>
      <c r="S51" s="723">
        <v>1.5</v>
      </c>
      <c r="T51" s="723">
        <f>SliderTDCProfitGraph</f>
        <v>0</v>
      </c>
      <c r="U51" s="721">
        <v>395</v>
      </c>
    </row>
    <row r="52" spans="4:24" x14ac:dyDescent="0.2">
      <c r="D52">
        <v>1</v>
      </c>
      <c r="E52" t="str">
        <f>INDEX(B18:D20,MATCH(D52,B18:B20,0),3)</f>
        <v>Just ag</v>
      </c>
      <c r="F52" s="726" t="s">
        <v>501</v>
      </c>
      <c r="G52" s="737" t="str">
        <f>IF(HowSell="Direct to Processor","",IF(ScorecardGraphsChoice=Year1,'Final Income and Cash Flows'!C126,'Final Income and Cash Flows'!D126))</f>
        <v/>
      </c>
      <c r="H52" s="741"/>
      <c r="J52" s="710" t="s">
        <v>352</v>
      </c>
      <c r="K52" s="711">
        <f>IF(Inputs!$Q52="No",IF(RatioAssetTOProfitGraph&gt;Inputs!$N52,Inputs!$N52,IF(RatioAssetTOProfitGraph&lt;Inputs!$O52,Inputs!$O52,RatioAssetTOProfitGraph)),IF(RatioAssetTOProfitGraph&lt;Inputs!$N52,Inputs!$N52,IF(RatioAssetTOProfitGraph&gt;Inputs!$O52,Inputs!$O52,RatioAssetTOProfitGraph)))</f>
        <v>0</v>
      </c>
      <c r="L52" s="699">
        <f>RatioAssetTOProfitLabel</f>
        <v>0</v>
      </c>
      <c r="M52" s="699" t="s">
        <v>469</v>
      </c>
      <c r="N52" s="714">
        <v>0.625</v>
      </c>
      <c r="O52" s="714">
        <v>0</v>
      </c>
      <c r="P52" s="412">
        <f>0.05*Inputs!$K52</f>
        <v>0</v>
      </c>
      <c r="Q52" s="412" t="s">
        <v>446</v>
      </c>
      <c r="R52" s="711">
        <f>RatioAssetTOProfitGraph</f>
        <v>0</v>
      </c>
      <c r="S52" s="711">
        <v>0.38</v>
      </c>
      <c r="T52" s="715">
        <f>SliderAssetTOProfitGraph</f>
        <v>0</v>
      </c>
      <c r="U52" s="412">
        <v>270</v>
      </c>
    </row>
    <row r="53" spans="4:24" x14ac:dyDescent="0.2">
      <c r="E53" t="str">
        <f>IF(DashboardChoiceIncExpGraph="Just Ag",'Final Income and Cash Flows'!$B$16,IF(DashboardChoiceIncExpGraph="Just Direct Marketing",'Final Income and Cash Flows'!$B$88,"TOTAL INCOME &amp; EXPENSES"))</f>
        <v>AG INCOME &amp; EXPENSES</v>
      </c>
      <c r="F53" s="728" t="s">
        <v>498</v>
      </c>
      <c r="G53" s="685">
        <f>IF(HowSell="Direct to Processor",IF(ScorecardGraphsChoice=Year1,NetIncomeAgYear1,NetIncomeAgYear2),IF(ScorecardGraphsChoice=Year1,NetIncomeAgYear1+NetIncomeDMYear1,NetIncomeAgYear2+NetIncomeDMYear2))</f>
        <v>0</v>
      </c>
      <c r="H53" s="741"/>
      <c r="J53" s="703" t="s">
        <v>353</v>
      </c>
      <c r="K53" s="713">
        <f>IF(Inputs!$Q53="No",IF(RatioOpExGraph&gt;Inputs!$N53,Inputs!$N53,IF(RatioOpExGraph&lt;Inputs!$O53,Inputs!$O53,RatioOpExGraph)),IF(RatioOpExGraph&lt;Inputs!$N53,Inputs!$N53,IF(RatioOpExGraph&gt;Inputs!$O53,Inputs!$O53,RatioOpExGraph)))*IF(RatioOpExGraph&lt;Inputs!$S53,0.725,1)</f>
        <v>0.28999999999999998</v>
      </c>
      <c r="L53" s="706">
        <f>RatioOpExLabel</f>
        <v>0</v>
      </c>
      <c r="M53" s="706" t="s">
        <v>471</v>
      </c>
      <c r="N53" s="716">
        <v>0.4</v>
      </c>
      <c r="O53" s="716">
        <v>1</v>
      </c>
      <c r="P53" s="406">
        <f>0.05*Inputs!$K53</f>
        <v>1.4499999999999999E-2</v>
      </c>
      <c r="Q53" s="406" t="s">
        <v>494</v>
      </c>
      <c r="R53" s="713">
        <f>RatioOpExGraph</f>
        <v>0</v>
      </c>
      <c r="S53" s="713">
        <v>0.7</v>
      </c>
      <c r="T53" s="717">
        <f>SliderOpExGraph</f>
        <v>10</v>
      </c>
      <c r="U53" s="406">
        <f>360*1.8</f>
        <v>648</v>
      </c>
    </row>
    <row r="54" spans="4:24" x14ac:dyDescent="0.2">
      <c r="E54" t="str">
        <f>IF(DashboardChoiceIncExpGraph="Just Ag","Top 10 Ag Expenses",IF(DashboardChoiceIncExpGraph="Just Direct Marketing","Top 10 Direct Marketing Expenses","Top 10 Expenses"))</f>
        <v>Top 10 Ag Expenses</v>
      </c>
      <c r="H54" s="440"/>
      <c r="J54" s="710" t="s">
        <v>355</v>
      </c>
      <c r="K54" s="711">
        <f>IF(ScorecardGraphsChoice=Year1,'Financial Scorecard'!D34,'Financial Scorecard'!E34)</f>
        <v>0</v>
      </c>
      <c r="L54" s="711">
        <f>RatioIntExLabel</f>
        <v>0</v>
      </c>
      <c r="M54" s="699" t="s">
        <v>472</v>
      </c>
      <c r="N54" s="714">
        <v>0.03</v>
      </c>
      <c r="O54" s="714">
        <v>0.15</v>
      </c>
      <c r="P54" s="412">
        <f>0.05*Inputs!$K54</f>
        <v>0</v>
      </c>
      <c r="Q54" s="412" t="s">
        <v>367</v>
      </c>
      <c r="R54" s="711">
        <f>RatioIntExpGraph</f>
        <v>0</v>
      </c>
      <c r="S54" s="711">
        <v>0.08</v>
      </c>
      <c r="T54" s="715">
        <f>SliderIntExpGraph</f>
        <v>10</v>
      </c>
      <c r="U54" s="412">
        <v>180</v>
      </c>
    </row>
    <row r="55" spans="4:24" ht="13.5" thickBot="1" x14ac:dyDescent="0.25">
      <c r="F55" s="407" t="s">
        <v>486</v>
      </c>
      <c r="G55" s="408" t="s">
        <v>74</v>
      </c>
      <c r="H55" s="738"/>
      <c r="I55" s="738"/>
      <c r="J55" s="719" t="s">
        <v>354</v>
      </c>
      <c r="K55" s="724">
        <f>IF(IF(ScorecardGraphsChoice=Year1,'Financial Scorecard'!D35,'Financial Scorecard'!E35)&lt;Inputs!$S55,IF(ScorecardGraphsChoice=Year1,'Financial Scorecard'!D35,'Financial Scorecard'!E35)*0.85,IF(ScorecardGraphsChoice=Year1,'Financial Scorecard'!D35,'Financial Scorecard'!E35)*3.3)</f>
        <v>0</v>
      </c>
      <c r="L55" s="724">
        <f>RatioDepExLabel</f>
        <v>0</v>
      </c>
      <c r="M55" s="722" t="s">
        <v>473</v>
      </c>
      <c r="N55" s="725">
        <v>0.03</v>
      </c>
      <c r="O55" s="725">
        <v>0.15</v>
      </c>
      <c r="P55" s="721">
        <f>0.05*Inputs!$K55</f>
        <v>0</v>
      </c>
      <c r="Q55" s="721" t="s">
        <v>367</v>
      </c>
      <c r="R55" s="724">
        <f>RatioDepExGraph</f>
        <v>0</v>
      </c>
      <c r="S55" s="724">
        <v>0.08</v>
      </c>
      <c r="T55" s="723">
        <f>SliderDepExGraph</f>
        <v>7.1428571428571432</v>
      </c>
      <c r="U55" s="721">
        <v>360</v>
      </c>
    </row>
    <row r="56" spans="4:24" ht="13.5" thickTop="1" x14ac:dyDescent="0.2">
      <c r="F56" s="727" t="str">
        <f>IF(DashboardChoiceIncExpGraph="Just Ag",F45,IF(DashboardChoiceIncExpGraph="Just Direct Marketing",F48,"Total Income"))</f>
        <v>Total Ag Income</v>
      </c>
      <c r="G56" s="693">
        <f>IF(DashboardChoiceIncExpGraph="Just Ag",G45,IF(DashboardChoiceIncExpGraph="Just Direct Marketing",G48,G45+G48))</f>
        <v>0</v>
      </c>
      <c r="H56" s="742"/>
      <c r="I56" s="742"/>
      <c r="J56" s="710" t="s">
        <v>356</v>
      </c>
      <c r="K56" s="711">
        <f>IF(ScorecardGraphsChoice=Year1,'Financial Scorecard'!D36,'Financial Scorecard'!E36)</f>
        <v>0</v>
      </c>
      <c r="L56" s="711">
        <f>RatioNetIncomeLabel</f>
        <v>0</v>
      </c>
      <c r="M56" s="699" t="s">
        <v>474</v>
      </c>
      <c r="N56" s="714">
        <v>0.3</v>
      </c>
      <c r="O56" s="714">
        <v>0</v>
      </c>
      <c r="P56" s="412">
        <f>0.05*Inputs!$K56</f>
        <v>0</v>
      </c>
      <c r="Q56" s="412" t="s">
        <v>446</v>
      </c>
      <c r="R56" s="711">
        <f>RatioNetIncomeGraph</f>
        <v>0</v>
      </c>
      <c r="S56" s="711">
        <v>0.15</v>
      </c>
      <c r="T56" s="715">
        <f>SliderNetIncomeGraph</f>
        <v>0</v>
      </c>
      <c r="U56" s="412">
        <v>180</v>
      </c>
    </row>
    <row r="57" spans="4:24" x14ac:dyDescent="0.2">
      <c r="F57" s="726" t="str">
        <f>IF(DashboardChoiceIncExpGraph="Just Ag",F46,IF(DashboardChoiceIncExpGraph="Just Direct Marketing",F49,"Total Variable Expenses"))</f>
        <v>Total Ag Direct Expenses</v>
      </c>
      <c r="G57" s="687">
        <f>IF(DashboardChoiceIncExpGraph="Just Ag",G46,IF(DashboardChoiceIncExpGraph="Just Direct Marketing",G49,G46+G49))</f>
        <v>0</v>
      </c>
      <c r="H57" s="742"/>
      <c r="I57" s="742"/>
    </row>
    <row r="58" spans="4:24" x14ac:dyDescent="0.2">
      <c r="F58" s="728" t="str">
        <f>IF(DashboardChoiceIncExpGraph="Just Ag",F47,IF(DashboardChoiceIncExpGraph="Just Direct Marketing",F50,"Total Fixed Expenses"))</f>
        <v>Total Ag Overhead Expenses</v>
      </c>
      <c r="G58" s="686">
        <f>IF(DashboardChoiceIncExpGraph="Just Ag",G47,IF(DashboardChoiceIncExpGraph="Just Direct Marketing",G50,G47+G50))</f>
        <v>0</v>
      </c>
      <c r="H58" s="742"/>
      <c r="I58" s="742"/>
    </row>
    <row r="59" spans="4:24" x14ac:dyDescent="0.2">
      <c r="F59" s="726" t="str">
        <f>CONCATENATE("Total ",IF(DashboardChoiceIncExpGraph="Just Ag","Ag",IF(DashboardChoiceIncExpGraph="Just direct marketing","Direct Marketing","Business"))," Net Income")</f>
        <v>Total Ag Net Income</v>
      </c>
      <c r="G59" s="729">
        <f>IF(DashboardChoiceIncExpGraph="Just Ag",G51,IF(DashboardChoiceIncExpGraph="Just Direct Marketing",G52,G51+G52))</f>
        <v>0</v>
      </c>
      <c r="H59" s="743"/>
      <c r="I59" s="742" t="s">
        <v>450</v>
      </c>
      <c r="K59" t="s">
        <v>451</v>
      </c>
      <c r="L59" t="s">
        <v>340</v>
      </c>
      <c r="M59" s="57" t="s">
        <v>454</v>
      </c>
      <c r="N59" s="57" t="s">
        <v>455</v>
      </c>
      <c r="O59" s="57" t="s">
        <v>475</v>
      </c>
      <c r="P59" s="57" t="s">
        <v>339</v>
      </c>
      <c r="Q59" s="57" t="s">
        <v>457</v>
      </c>
      <c r="R59" s="57" t="s">
        <v>458</v>
      </c>
      <c r="S59" s="57" t="s">
        <v>459</v>
      </c>
      <c r="T59" s="57" t="s">
        <v>456</v>
      </c>
      <c r="U59" s="57" t="s">
        <v>452</v>
      </c>
      <c r="V59" s="57" t="s">
        <v>453</v>
      </c>
      <c r="W59" s="57" t="s">
        <v>492</v>
      </c>
      <c r="X59" s="57" t="s">
        <v>493</v>
      </c>
    </row>
    <row r="60" spans="4:24" x14ac:dyDescent="0.2">
      <c r="F60" s="728" t="str">
        <f>CONCATENATE("Total ",IF(HowSell="Direct to Processor","Ag","Business")," Net Income")</f>
        <v>Total Ag Net Income</v>
      </c>
      <c r="G60" s="730">
        <f>G53</f>
        <v>0</v>
      </c>
      <c r="H60" s="743"/>
      <c r="I60" s="744">
        <v>12</v>
      </c>
      <c r="J60" t="str">
        <f>INDEX(Inputs!$J$43:$J$56,I60)</f>
        <v>Interest Expense Ratio</v>
      </c>
      <c r="K60" s="662">
        <f>INDEX(Inputs!$J$43:$U$56,MATCH($J$60,Inputs!$J$43:$J$56,0),2)</f>
        <v>0</v>
      </c>
      <c r="L60" s="641">
        <f>INDEX(Inputs!$J$43:$U$56,MATCH($J$60,Inputs!$J$43:$J$56,0),3)</f>
        <v>0</v>
      </c>
      <c r="M60" t="str">
        <f>CONCATENATE(ScorecardGraphsChoice," - ",Inputs!$J$60)</f>
        <v>1 Projected - Interest Expense Ratio</v>
      </c>
      <c r="N60" t="str">
        <f>INDEX(Inputs!$J$43:$U$56,MATCH($J$60,Inputs!$J$43:$J$56,0),4)</f>
        <v>The Interest Expense shows how what percentage of gross farm income is used to pay interest costs for borrowed money.</v>
      </c>
      <c r="O60" t="str">
        <f>INDEX(Inputs!$J$43:$U$56,MATCH($J$60,Inputs!$J$43:$J$56,0),8)</f>
        <v>Yes</v>
      </c>
      <c r="P60">
        <f>INDEX(Inputs!$J$43:$U$56,MATCH($J$60,Inputs!$J$43:$J$56,0),5)</f>
        <v>0.03</v>
      </c>
      <c r="Q60">
        <f>($P$60-$T$60)/3</f>
        <v>5.0000000000000001E-3</v>
      </c>
      <c r="R60">
        <f>($P$60-$T$60)/3</f>
        <v>5.0000000000000001E-3</v>
      </c>
      <c r="S60">
        <f>($P$60-$T$60)/3</f>
        <v>5.0000000000000001E-3</v>
      </c>
      <c r="T60">
        <f>P60*0.5</f>
        <v>1.4999999999999999E-2</v>
      </c>
      <c r="U60">
        <f>INDEX(Inputs!$J$43:$U$56,MATCH($J$60,Inputs!$J$43:$J$56,0),7)</f>
        <v>0</v>
      </c>
      <c r="V60" s="642">
        <f>IF(O60="No",IF(SUM(Q60:T60)-SUM(K60,U60)&gt;0,SUM(Q60:T60)-SUM(K60,U60),0),IF(SUM(K60,U60)-SUM(Q60:T60)&gt;0,SUM(K60,U60)-SUM(Q60:T60),0))*(W60/180)</f>
        <v>0</v>
      </c>
      <c r="W60">
        <f>INDEX(Inputs!$J$43:$U$56,MATCH($J$60,Inputs!$J$43:$J$56,0),12)</f>
        <v>180</v>
      </c>
      <c r="X60">
        <f>1*(SUM(U60:V60,K60))</f>
        <v>0</v>
      </c>
    </row>
    <row r="61" spans="4:24" x14ac:dyDescent="0.2">
      <c r="V61" s="642">
        <f>SUM(Q60:T60)-SUM(K60,U60)</f>
        <v>0.03</v>
      </c>
    </row>
    <row r="62" spans="4:24" x14ac:dyDescent="0.2">
      <c r="F62" t="s">
        <v>499</v>
      </c>
      <c r="W62" s="57" t="s">
        <v>495</v>
      </c>
      <c r="X62" s="640" t="e">
        <f>K60/SUM(K60,U60:V60,X60)</f>
        <v>#DIV/0!</v>
      </c>
    </row>
    <row r="63" spans="4:24" x14ac:dyDescent="0.2">
      <c r="W63" s="57" t="s">
        <v>452</v>
      </c>
      <c r="X63" s="640" t="e">
        <f>U60/SUM(K60,U60:V60,X60)</f>
        <v>#DIV/0!</v>
      </c>
    </row>
    <row r="64" spans="4:24" x14ac:dyDescent="0.2">
      <c r="W64" s="57" t="s">
        <v>492</v>
      </c>
      <c r="X64" s="640" t="e">
        <f>V60/SUM(K60,U60:V60,X60)</f>
        <v>#DIV/0!</v>
      </c>
    </row>
    <row r="65" spans="11:24" x14ac:dyDescent="0.2">
      <c r="W65" s="57" t="s">
        <v>493</v>
      </c>
      <c r="X65" s="640" t="e">
        <f>X60/SUM(K60,U60:V60,X60)</f>
        <v>#DIV/0!</v>
      </c>
    </row>
    <row r="66" spans="11:24" x14ac:dyDescent="0.2">
      <c r="X66" s="642" t="e">
        <f>SUM(X62:X65)</f>
        <v>#DIV/0!</v>
      </c>
    </row>
    <row r="70" spans="11:24" x14ac:dyDescent="0.2">
      <c r="K70" s="661" t="s">
        <v>497</v>
      </c>
    </row>
    <row r="82" spans="10:21" x14ac:dyDescent="0.2">
      <c r="K82">
        <f>Year1</f>
        <v>0</v>
      </c>
      <c r="L82" t="str">
        <f>Year2</f>
        <v>1 Projected</v>
      </c>
      <c r="M82" t="str">
        <f>ScorecardGraphsChoice</f>
        <v>1 Projected</v>
      </c>
    </row>
    <row r="83" spans="10:21" ht="13.5" thickBot="1" x14ac:dyDescent="0.25">
      <c r="J83" s="803" t="s">
        <v>477</v>
      </c>
      <c r="K83" s="804" t="s">
        <v>478</v>
      </c>
      <c r="L83" s="805" t="s">
        <v>479</v>
      </c>
      <c r="M83" s="408" t="s">
        <v>330</v>
      </c>
      <c r="N83" s="806" t="s">
        <v>487</v>
      </c>
      <c r="R83" s="407" t="s">
        <v>487</v>
      </c>
      <c r="S83" s="408" t="s">
        <v>340</v>
      </c>
      <c r="T83" s="408" t="s">
        <v>74</v>
      </c>
      <c r="U83" s="408" t="s">
        <v>125</v>
      </c>
    </row>
    <row r="84" spans="10:21" ht="13.5" thickTop="1" x14ac:dyDescent="0.2">
      <c r="J84" s="807" t="s">
        <v>287</v>
      </c>
      <c r="K84" s="808">
        <f>(ACFFCLandRentTot)</f>
        <v>0</v>
      </c>
      <c r="L84" s="809">
        <f>(MCFFCLandRentTot)</f>
        <v>0</v>
      </c>
      <c r="M84" s="808">
        <f>IF(DashboardChoiceIncExpGraph="Just Direct Marketing",0,IF(ScorecardGraphsChoice=Year1,Inputs!$K84,Inputs!$L84))</f>
        <v>0</v>
      </c>
      <c r="N84" s="810">
        <f>RANK(Inputs!$M84,Inputs!$M$84:$M$139,0)</f>
        <v>1</v>
      </c>
      <c r="O84" s="659"/>
      <c r="R84" s="409">
        <v>1</v>
      </c>
      <c r="S84" s="410" t="str">
        <f>INDEX(Inputs!$J$84:$N$139,MATCH(Inputs!$R84,Inputs!$N$84:$N$139,0),1)</f>
        <v>Land Rent</v>
      </c>
      <c r="T84" s="808">
        <f>INDEX(Inputs!$J$84:$N$139,MATCH(Inputs!$S84,Inputs!$J$84:$J$139,0),4)</f>
        <v>0</v>
      </c>
      <c r="U84" s="835" t="e">
        <f>Inputs!$T84/SUM(Inputs!$M$84:$M$139)</f>
        <v>#DIV/0!</v>
      </c>
    </row>
    <row r="85" spans="10:21" x14ac:dyDescent="0.2">
      <c r="J85" s="811" t="s">
        <v>292</v>
      </c>
      <c r="K85" s="812">
        <f>(ACFVCSeedTot)</f>
        <v>0</v>
      </c>
      <c r="L85" s="813">
        <f>(MCFVCSeedTot)</f>
        <v>0</v>
      </c>
      <c r="M85" s="814">
        <f>IF(DashboardChoiceIncExpGraph="Just Direct Marketing",0,IF(ScorecardGraphsChoice=Year1,Inputs!$K85,Inputs!$L85))</f>
        <v>0</v>
      </c>
      <c r="N85" s="815">
        <f>RANK(Inputs!$M85,Inputs!$M$84:$M$139,0)</f>
        <v>1</v>
      </c>
      <c r="O85" s="659"/>
      <c r="R85" s="411">
        <v>2</v>
      </c>
      <c r="S85" s="412" t="e">
        <f>INDEX(Inputs!$J$84:$N$139,MATCH(Inputs!$R85,Inputs!$N$84:$N$139,0),1)</f>
        <v>#N/A</v>
      </c>
      <c r="T85" s="814" t="e">
        <f>INDEX(Inputs!$J$84:$N$139,MATCH(Inputs!$S85,Inputs!$J$84:$J$139,0),4)</f>
        <v>#N/A</v>
      </c>
      <c r="U85" s="711" t="e">
        <f>Inputs!$T85/SUM(Inputs!$M$84:$M$139)</f>
        <v>#N/A</v>
      </c>
    </row>
    <row r="86" spans="10:21" x14ac:dyDescent="0.2">
      <c r="J86" s="816" t="s">
        <v>395</v>
      </c>
      <c r="K86" s="817">
        <f>(ACFFCDeprEquipTot+ACFFCDeprLivestockTot+ACFFCDeprBuildTot)</f>
        <v>0</v>
      </c>
      <c r="L86" s="818">
        <f>(MCFFCDeprEquipTot+MCFFCDeprLivestockTot+MCFFCDeprBuildTot)</f>
        <v>0</v>
      </c>
      <c r="M86" s="819">
        <f>IF(DashboardChoiceIncExpGraph="Just Direct Marketing",0,IF(ScorecardGraphsChoice=Year1,Inputs!$K86,Inputs!$L86))</f>
        <v>0</v>
      </c>
      <c r="N86" s="820">
        <f>RANK(Inputs!$M86,Inputs!$M$84:$M$139,0)</f>
        <v>1</v>
      </c>
      <c r="O86" s="659"/>
      <c r="R86" s="413">
        <v>3</v>
      </c>
      <c r="S86" s="406" t="e">
        <f>INDEX(Inputs!$J$84:$N$139,MATCH(Inputs!$R86,Inputs!$N$84:$N$139,0),1)</f>
        <v>#N/A</v>
      </c>
      <c r="T86" s="819" t="e">
        <f>INDEX(Inputs!$J$84:$N$139,MATCH(Inputs!$S86,Inputs!$J$84:$J$139,0),4)</f>
        <v>#N/A</v>
      </c>
      <c r="U86" s="713" t="e">
        <f>Inputs!$T86/SUM(Inputs!$M$84:$M$139)</f>
        <v>#N/A</v>
      </c>
    </row>
    <row r="87" spans="10:21" x14ac:dyDescent="0.2">
      <c r="J87" s="821" t="s">
        <v>304</v>
      </c>
      <c r="K87" s="812">
        <f>(ACFVCFertilizerTot)</f>
        <v>0</v>
      </c>
      <c r="L87" s="813">
        <f>(MCFVCFertilizerTot)</f>
        <v>0</v>
      </c>
      <c r="M87" s="814">
        <f>IF(DashboardChoiceIncExpGraph="Just Direct Marketing",0,IF(ScorecardGraphsChoice=Year1,Inputs!$K87,Inputs!$L87))</f>
        <v>0</v>
      </c>
      <c r="N87" s="815">
        <f>RANK(Inputs!$M87,Inputs!$M$84:$M$139,0)</f>
        <v>1</v>
      </c>
      <c r="O87" s="659"/>
      <c r="R87" s="411">
        <v>4</v>
      </c>
      <c r="S87" s="412" t="e">
        <f>INDEX(Inputs!$J$84:$N$139,MATCH(Inputs!$R87,Inputs!$N$84:$N$139,0),1)</f>
        <v>#N/A</v>
      </c>
      <c r="T87" s="814" t="e">
        <f>INDEX(Inputs!$J$84:$N$139,MATCH(Inputs!$S87,Inputs!$J$84:$J$139,0),4)</f>
        <v>#N/A</v>
      </c>
      <c r="U87" s="711" t="e">
        <f>Inputs!$T87/SUM(Inputs!$M$84:$M$139)</f>
        <v>#N/A</v>
      </c>
    </row>
    <row r="88" spans="10:21" x14ac:dyDescent="0.2">
      <c r="J88" s="822" t="s">
        <v>305</v>
      </c>
      <c r="K88" s="817">
        <f>(ACFVCChemTot)</f>
        <v>0</v>
      </c>
      <c r="L88" s="818">
        <f>(MCFVCChemTot)</f>
        <v>0</v>
      </c>
      <c r="M88" s="819">
        <f>IF(DashboardChoiceIncExpGraph="Just Direct Marketing",0,IF(ScorecardGraphsChoice=Year1,Inputs!$K88,Inputs!$L88))</f>
        <v>0</v>
      </c>
      <c r="N88" s="820">
        <f>RANK(Inputs!$M88,Inputs!$M$84:$M$139,0)</f>
        <v>1</v>
      </c>
      <c r="O88" s="659"/>
      <c r="R88" s="413">
        <v>5</v>
      </c>
      <c r="S88" s="406" t="e">
        <f>INDEX(Inputs!$J$84:$N$139,MATCH(Inputs!$R88,Inputs!$N$84:$N$139,0),1)</f>
        <v>#N/A</v>
      </c>
      <c r="T88" s="819" t="e">
        <f>INDEX(Inputs!$J$84:$N$139,MATCH(Inputs!$S88,Inputs!$J$84:$J$139,0),4)</f>
        <v>#N/A</v>
      </c>
      <c r="U88" s="713" t="e">
        <f>Inputs!$T88/SUM(Inputs!$M$84:$M$139)</f>
        <v>#N/A</v>
      </c>
    </row>
    <row r="89" spans="10:21" ht="25.5" x14ac:dyDescent="0.2">
      <c r="J89" s="823" t="s">
        <v>70</v>
      </c>
      <c r="K89" s="814">
        <f>(ACFVCRepairsTot)</f>
        <v>0</v>
      </c>
      <c r="L89" s="813">
        <f>(MCFVCRepairsTot)</f>
        <v>0</v>
      </c>
      <c r="M89" s="814">
        <f>IF(DashboardChoiceIncExpGraph="Just Direct Marketing",0,IF(ScorecardGraphsChoice=Year1,Inputs!$K89,Inputs!$L89))</f>
        <v>0</v>
      </c>
      <c r="N89" s="815">
        <f>RANK(Inputs!$M89,Inputs!$M$84:$M$139,0)</f>
        <v>1</v>
      </c>
      <c r="O89" s="659"/>
      <c r="R89" s="411">
        <v>6</v>
      </c>
      <c r="S89" s="412" t="e">
        <f>INDEX(Inputs!$J$84:$N$139,MATCH(Inputs!$R89,Inputs!$N$84:$N$139,0),1)</f>
        <v>#N/A</v>
      </c>
      <c r="T89" s="814" t="e">
        <f>INDEX(Inputs!$J$84:$N$139,MATCH(Inputs!$S89,Inputs!$J$84:$J$139,0),4)</f>
        <v>#N/A</v>
      </c>
      <c r="U89" s="711" t="e">
        <f>Inputs!$T89/SUM(Inputs!$M$84:$M$139)</f>
        <v>#N/A</v>
      </c>
    </row>
    <row r="90" spans="10:21" x14ac:dyDescent="0.2">
      <c r="J90" s="816" t="s">
        <v>44</v>
      </c>
      <c r="K90" s="819">
        <f>(ACFVCFuelTot)</f>
        <v>0</v>
      </c>
      <c r="L90" s="818">
        <f>(MCFVCFuelTot)</f>
        <v>0</v>
      </c>
      <c r="M90" s="819">
        <f>IF(DashboardChoiceIncExpGraph="Just Direct Marketing",0,IF(ScorecardGraphsChoice=Year1,Inputs!$K90,Inputs!$L90))</f>
        <v>0</v>
      </c>
      <c r="N90" s="820">
        <f>RANK(Inputs!$M90,Inputs!$M$84:$M$139,0)</f>
        <v>1</v>
      </c>
      <c r="O90" s="659"/>
      <c r="R90" s="413">
        <v>7</v>
      </c>
      <c r="S90" s="406" t="e">
        <f>INDEX(Inputs!$J$84:$N$139,MATCH(Inputs!$R90,Inputs!$N$84:$N$139,0),1)</f>
        <v>#N/A</v>
      </c>
      <c r="T90" s="819" t="e">
        <f>INDEX(Inputs!$J$84:$N$139,MATCH(Inputs!$S90,Inputs!$J$84:$J$139,0),4)</f>
        <v>#N/A</v>
      </c>
      <c r="U90" s="713" t="e">
        <f>Inputs!$T90/SUM(Inputs!$M$84:$M$139)</f>
        <v>#N/A</v>
      </c>
    </row>
    <row r="91" spans="10:21" x14ac:dyDescent="0.2">
      <c r="J91" s="811" t="s">
        <v>72</v>
      </c>
      <c r="K91" s="812">
        <f>(ACFFCInterestTot)</f>
        <v>0</v>
      </c>
      <c r="L91" s="813">
        <f>(MCFFCInterestTot)</f>
        <v>0</v>
      </c>
      <c r="M91" s="814">
        <f>IF(DashboardChoiceIncExpGraph="Just Direct Marketing",0,IF(ScorecardGraphsChoice=Year1,Inputs!$K91,Inputs!$L91))</f>
        <v>0</v>
      </c>
      <c r="N91" s="815">
        <f>RANK(Inputs!$M91,Inputs!$M$84:$M$139,0)</f>
        <v>1</v>
      </c>
      <c r="O91" s="659"/>
      <c r="R91" s="411">
        <v>8</v>
      </c>
      <c r="S91" s="412" t="e">
        <f>INDEX(Inputs!$J$84:$N$139,MATCH(Inputs!$R91,Inputs!$N$84:$N$139,0),1)</f>
        <v>#N/A</v>
      </c>
      <c r="T91" s="814" t="e">
        <f>INDEX(Inputs!$J$84:$N$139,MATCH(Inputs!$S91,Inputs!$J$84:$J$139,0),4)</f>
        <v>#N/A</v>
      </c>
      <c r="U91" s="711" t="e">
        <f>Inputs!$T91/SUM(Inputs!$M$84:$M$139)</f>
        <v>#N/A</v>
      </c>
    </row>
    <row r="92" spans="10:21" x14ac:dyDescent="0.2">
      <c r="J92" s="824" t="s">
        <v>285</v>
      </c>
      <c r="K92" s="817">
        <f>(ACFVCCropInsTot)</f>
        <v>0</v>
      </c>
      <c r="L92" s="818">
        <f>(MCFVCCropInsTot)</f>
        <v>0</v>
      </c>
      <c r="M92" s="819">
        <f>IF(DashboardChoiceIncExpGraph="Just Direct Marketing",0,IF(ScorecardGraphsChoice=Year1,Inputs!$K92,Inputs!$L92))</f>
        <v>0</v>
      </c>
      <c r="N92" s="820">
        <f>RANK(Inputs!$M92,Inputs!$M$84:$M$139,0)</f>
        <v>1</v>
      </c>
      <c r="O92" s="659"/>
      <c r="R92" s="413">
        <v>9</v>
      </c>
      <c r="S92" s="406" t="e">
        <f>INDEX(Inputs!$J$84:$N$139,MATCH(Inputs!$R92,Inputs!$N$84:$N$139,0),1)</f>
        <v>#N/A</v>
      </c>
      <c r="T92" s="819" t="e">
        <f>INDEX(Inputs!$J$84:$N$139,MATCH(Inputs!$S92,Inputs!$J$84:$J$139,0),4)</f>
        <v>#N/A</v>
      </c>
      <c r="U92" s="713" t="e">
        <f>Inputs!$T92/SUM(Inputs!$M$84:$M$139)</f>
        <v>#N/A</v>
      </c>
    </row>
    <row r="93" spans="10:21" x14ac:dyDescent="0.2">
      <c r="J93" s="825" t="s">
        <v>293</v>
      </c>
      <c r="K93" s="814">
        <f>(ACFVCCustomHireTot)</f>
        <v>0</v>
      </c>
      <c r="L93" s="813">
        <f>(MCFVCCustomHireTot)</f>
        <v>0</v>
      </c>
      <c r="M93" s="814">
        <f>IF(DashboardChoiceIncExpGraph="Just Direct Marketing",0,IF(ScorecardGraphsChoice=Year1,Inputs!$K93,Inputs!$L93))</f>
        <v>0</v>
      </c>
      <c r="N93" s="815">
        <f>RANK(Inputs!$M93,Inputs!$M$84:$M$139,0)</f>
        <v>1</v>
      </c>
      <c r="O93" s="659"/>
      <c r="R93" s="411">
        <v>10</v>
      </c>
      <c r="S93" s="412" t="e">
        <f>INDEX(Inputs!$J$84:$N$139,MATCH(Inputs!$R93,Inputs!$N$84:$N$139,0),1)</f>
        <v>#N/A</v>
      </c>
      <c r="T93" s="814" t="e">
        <f>INDEX(Inputs!$J$84:$N$139,MATCH(Inputs!$S93,Inputs!$J$84:$J$139,0),4)</f>
        <v>#N/A</v>
      </c>
      <c r="U93" s="711" t="e">
        <f>Inputs!$T93/SUM(Inputs!$M$84:$M$139)</f>
        <v>#N/A</v>
      </c>
    </row>
    <row r="94" spans="10:21" x14ac:dyDescent="0.2">
      <c r="J94" s="826" t="s">
        <v>301</v>
      </c>
      <c r="K94" s="819">
        <f>(ACFVCPurchFeedTot)</f>
        <v>0</v>
      </c>
      <c r="L94" s="818">
        <f>(MCFVCPurchFeedTot)</f>
        <v>0</v>
      </c>
      <c r="M94" s="827">
        <f>IF(DashboardChoiceIncExpGraph="Just Direct Marketing",0,IF(ScorecardGraphsChoice=Year1,Inputs!$K94,Inputs!$L94))</f>
        <v>0</v>
      </c>
      <c r="N94" s="828">
        <f>RANK(Inputs!$M94,Inputs!$M$84:$M$139,0)</f>
        <v>1</v>
      </c>
      <c r="O94" s="426"/>
      <c r="R94" s="413" t="s">
        <v>488</v>
      </c>
      <c r="S94" s="406" t="s">
        <v>488</v>
      </c>
      <c r="T94" s="819" t="e">
        <f>SUM(Inputs!$M$84:$M$139)-SUM(T84:T93)</f>
        <v>#N/A</v>
      </c>
      <c r="U94" s="713" t="e">
        <f>Inputs!$T94/SUM(Inputs!$M$84:$M$139)</f>
        <v>#N/A</v>
      </c>
    </row>
    <row r="95" spans="10:21" x14ac:dyDescent="0.2">
      <c r="J95" s="825" t="s">
        <v>289</v>
      </c>
      <c r="K95" s="812">
        <f>(ACFFCFarmInsTot)</f>
        <v>0</v>
      </c>
      <c r="L95" s="813">
        <f>(MCFFCFarmInsTot)</f>
        <v>0</v>
      </c>
      <c r="M95" s="829">
        <f>IF(DashboardChoiceIncExpGraph="Just Direct Marketing",0,IF(ScorecardGraphsChoice=Year1,Inputs!$K95,Inputs!$L95))</f>
        <v>0</v>
      </c>
      <c r="N95" s="830">
        <f>RANK(Inputs!$M95,Inputs!$M$84:$M$139,0)</f>
        <v>1</v>
      </c>
      <c r="O95" s="426"/>
    </row>
    <row r="96" spans="10:21" ht="25.5" x14ac:dyDescent="0.2">
      <c r="J96" s="816" t="s">
        <v>428</v>
      </c>
      <c r="K96" s="817">
        <f>(ACFFCOthTot)</f>
        <v>0</v>
      </c>
      <c r="L96" s="818">
        <f>(MCFFCOthTot)</f>
        <v>0</v>
      </c>
      <c r="M96" s="827">
        <f>IF(DashboardChoiceIncExpGraph="Just Direct Marketing",0,IF(ScorecardGraphsChoice=Year1,Inputs!$K96,Inputs!$L96))</f>
        <v>0</v>
      </c>
      <c r="N96" s="828">
        <f>RANK(Inputs!$M96,Inputs!$M$84:$M$139,0)</f>
        <v>1</v>
      </c>
      <c r="O96" s="426"/>
    </row>
    <row r="97" spans="10:15" x14ac:dyDescent="0.2">
      <c r="J97" s="825" t="s">
        <v>316</v>
      </c>
      <c r="K97" s="812">
        <f>(ACFVCDryingTot)</f>
        <v>0</v>
      </c>
      <c r="L97" s="813">
        <f>(MCFVCDryingTot)</f>
        <v>0</v>
      </c>
      <c r="M97" s="829">
        <f>IF(DashboardChoiceIncExpGraph="Just Direct Marketing",0,IF(ScorecardGraphsChoice=Year1,Inputs!$K97,Inputs!$L97))</f>
        <v>0</v>
      </c>
      <c r="N97" s="830">
        <f>RANK(Inputs!$M97,Inputs!$M$84:$M$139,0)</f>
        <v>1</v>
      </c>
      <c r="O97" s="426"/>
    </row>
    <row r="98" spans="10:15" x14ac:dyDescent="0.2">
      <c r="J98" s="831" t="s">
        <v>46</v>
      </c>
      <c r="K98" s="819">
        <f>(ACFVCUtilTot)</f>
        <v>0</v>
      </c>
      <c r="L98" s="818">
        <f>(MCFVCUtilTot)</f>
        <v>0</v>
      </c>
      <c r="M98" s="827">
        <f>IF(DashboardChoiceIncExpGraph="Just Direct Marketing",0,IF(ScorecardGraphsChoice=Year1,Inputs!$K98,Inputs!$L98))</f>
        <v>0</v>
      </c>
      <c r="N98" s="828">
        <f>RANK(Inputs!$M98,Inputs!$M$84:$M$139,0)</f>
        <v>1</v>
      </c>
      <c r="O98" s="426"/>
    </row>
    <row r="99" spans="10:15" x14ac:dyDescent="0.2">
      <c r="J99" s="825" t="s">
        <v>311</v>
      </c>
      <c r="K99" s="814">
        <f>(ACFVCCropConsultTot)</f>
        <v>0</v>
      </c>
      <c r="L99" s="813">
        <f>(MCFVCCropConsultTot)</f>
        <v>0</v>
      </c>
      <c r="M99" s="829">
        <f>IF(DashboardChoiceIncExpGraph="Just Direct Marketing",0,IF(ScorecardGraphsChoice=Year1,Inputs!$K99,Inputs!$L99))</f>
        <v>0</v>
      </c>
      <c r="N99" s="830">
        <f>RANK(Inputs!$M99,Inputs!$M$84:$M$139,0)</f>
        <v>1</v>
      </c>
      <c r="O99" s="426"/>
    </row>
    <row r="100" spans="10:15" x14ac:dyDescent="0.2">
      <c r="J100" s="826" t="s">
        <v>65</v>
      </c>
      <c r="K100" s="817">
        <f>(ACFFCPropTaxTot)</f>
        <v>0</v>
      </c>
      <c r="L100" s="818">
        <f>(MCFFCPropTaxTot)</f>
        <v>0</v>
      </c>
      <c r="M100" s="827">
        <f>IF(DashboardChoiceIncExpGraph="Just Direct Marketing",0,IF(ScorecardGraphsChoice=Year1,Inputs!$K100,Inputs!$L100))</f>
        <v>0</v>
      </c>
      <c r="N100" s="828">
        <f>RANK(Inputs!$M100,Inputs!$M$84:$M$139,0)</f>
        <v>1</v>
      </c>
      <c r="O100" s="426"/>
    </row>
    <row r="101" spans="10:15" x14ac:dyDescent="0.2">
      <c r="J101" s="825" t="s">
        <v>317</v>
      </c>
      <c r="K101" s="814">
        <f>(ACFVCCropMarketingTot)</f>
        <v>0</v>
      </c>
      <c r="L101" s="813">
        <f>(MCFVCCropMarketingTot)</f>
        <v>0</v>
      </c>
      <c r="M101" s="829">
        <f>IF(DashboardChoiceIncExpGraph="Just Direct Marketing",0,IF(ScorecardGraphsChoice=Year1,Inputs!$K101,Inputs!$L101))</f>
        <v>0</v>
      </c>
      <c r="N101" s="830">
        <f>RANK(Inputs!$M101,Inputs!$M$84:$M$139,0)</f>
        <v>1</v>
      </c>
      <c r="O101" s="426"/>
    </row>
    <row r="102" spans="10:15" x14ac:dyDescent="0.2">
      <c r="J102" s="824" t="s">
        <v>302</v>
      </c>
      <c r="K102" s="819">
        <f>(ACFVCVetTot)</f>
        <v>0</v>
      </c>
      <c r="L102" s="818">
        <f>(MCFVCVetTot)</f>
        <v>0</v>
      </c>
      <c r="M102" s="827">
        <f>IF(DashboardChoiceIncExpGraph="Just Direct Marketing",0,IF(ScorecardGraphsChoice=Year1,Inputs!$K102,Inputs!$L102))</f>
        <v>0</v>
      </c>
      <c r="N102" s="828">
        <f>RANK(Inputs!$M102,Inputs!$M$84:$M$139,0)</f>
        <v>1</v>
      </c>
      <c r="O102" s="426"/>
    </row>
    <row r="103" spans="10:15" x14ac:dyDescent="0.2">
      <c r="J103" s="811" t="s">
        <v>294</v>
      </c>
      <c r="K103" s="814">
        <f>(ACFVCLivestockSuppliesTot)</f>
        <v>0</v>
      </c>
      <c r="L103" s="813">
        <f>(MCFVCLivestockSuppliesTot)</f>
        <v>0</v>
      </c>
      <c r="M103" s="829">
        <f>IF(DashboardChoiceIncExpGraph="Just Direct Marketing",0,IF(ScorecardGraphsChoice=Year1,Inputs!$K103,Inputs!$L103))</f>
        <v>0</v>
      </c>
      <c r="N103" s="830">
        <f>RANK(Inputs!$M103,Inputs!$M$84:$M$139,0)</f>
        <v>1</v>
      </c>
      <c r="O103" s="426"/>
    </row>
    <row r="104" spans="10:15" x14ac:dyDescent="0.2">
      <c r="J104" s="831" t="s">
        <v>295</v>
      </c>
      <c r="K104" s="819">
        <f>(ACFVCLivestockMarketingTot)</f>
        <v>0</v>
      </c>
      <c r="L104" s="818">
        <f>(MCFVCLivestockMarketingTot)</f>
        <v>0</v>
      </c>
      <c r="M104" s="827">
        <f>IF(DashboardChoiceIncExpGraph="Just Direct Marketing",0,IF(ScorecardGraphsChoice=Year1,Inputs!$K104,Inputs!$L104))</f>
        <v>0</v>
      </c>
      <c r="N104" s="828">
        <f>RANK(Inputs!$M104,Inputs!$M$84:$M$139,0)</f>
        <v>1</v>
      </c>
      <c r="O104" s="426"/>
    </row>
    <row r="105" spans="10:15" x14ac:dyDescent="0.2">
      <c r="J105" s="823" t="s">
        <v>307</v>
      </c>
      <c r="K105" s="812">
        <f>(ACFVCStorageTot)</f>
        <v>0</v>
      </c>
      <c r="L105" s="813">
        <f>(MCFVCStorageTot)</f>
        <v>0</v>
      </c>
      <c r="M105" s="829">
        <f>IF(DashboardChoiceIncExpGraph="Just Direct Marketing",0,IF(ScorecardGraphsChoice=Year1,Inputs!$K105,Inputs!$L105))</f>
        <v>0</v>
      </c>
      <c r="N105" s="830">
        <f>RANK(Inputs!$M105,Inputs!$M$84:$M$139,0)</f>
        <v>1</v>
      </c>
      <c r="O105" s="426"/>
    </row>
    <row r="106" spans="10:15" x14ac:dyDescent="0.2">
      <c r="J106" s="831" t="s">
        <v>308</v>
      </c>
      <c r="K106" s="819">
        <f>(ACFVCGreenhouseSuppliesTot)</f>
        <v>0</v>
      </c>
      <c r="L106" s="818">
        <f>(MCFVCGreenhouseSuppliesTot)</f>
        <v>0</v>
      </c>
      <c r="M106" s="827">
        <f>IF(DashboardChoiceIncExpGraph="Just Direct Marketing",0,IF(ScorecardGraphsChoice=Year1,Inputs!$K106,Inputs!$L106))</f>
        <v>0</v>
      </c>
      <c r="N106" s="828">
        <f>RANK(Inputs!$M106,Inputs!$M$84:$M$139,0)</f>
        <v>1</v>
      </c>
      <c r="O106" s="426"/>
    </row>
    <row r="107" spans="10:15" x14ac:dyDescent="0.2">
      <c r="J107" s="823" t="s">
        <v>309</v>
      </c>
      <c r="K107" s="814">
        <f>(ACFVCCropSuppliesTot)</f>
        <v>0</v>
      </c>
      <c r="L107" s="813">
        <f>(MCFVCCropSuppliesTot)</f>
        <v>0</v>
      </c>
      <c r="M107" s="829">
        <f>IF(DashboardChoiceIncExpGraph="Just Direct Marketing",0,IF(ScorecardGraphsChoice=Year1,Inputs!$K107,Inputs!$L107))</f>
        <v>0</v>
      </c>
      <c r="N107" s="830">
        <f>RANK(Inputs!$M107,Inputs!$M$84:$M$139,0)</f>
        <v>1</v>
      </c>
      <c r="O107" s="426"/>
    </row>
    <row r="108" spans="10:15" x14ac:dyDescent="0.2">
      <c r="J108" s="826" t="s">
        <v>310</v>
      </c>
      <c r="K108" s="819">
        <f>(ACFVCIrrigationTot)</f>
        <v>0</v>
      </c>
      <c r="L108" s="818">
        <f>(MCFVCIrrigationTot)</f>
        <v>0</v>
      </c>
      <c r="M108" s="827">
        <f>IF(DashboardChoiceIncExpGraph="Just Direct Marketing",0,IF(ScorecardGraphsChoice=Year1,Inputs!$K108,Inputs!$L108))</f>
        <v>0</v>
      </c>
      <c r="N108" s="828">
        <f>RANK(Inputs!$M108,Inputs!$M$84:$M$139,0)</f>
        <v>1</v>
      </c>
      <c r="O108" s="426"/>
    </row>
    <row r="109" spans="10:15" ht="25.5" x14ac:dyDescent="0.2">
      <c r="J109" s="825" t="s">
        <v>300</v>
      </c>
      <c r="K109" s="814">
        <f>(ACFVCFeederLivestockTot)</f>
        <v>0</v>
      </c>
      <c r="L109" s="813">
        <f>(MCFVCFeederLivestockTot)</f>
        <v>0</v>
      </c>
      <c r="M109" s="829">
        <f>IF(DashboardChoiceIncExpGraph="Just Direct Marketing",0,IF(ScorecardGraphsChoice=Year1,Inputs!$K109,Inputs!$L109))</f>
        <v>0</v>
      </c>
      <c r="N109" s="830">
        <f>RANK(Inputs!$M109,Inputs!$M$84:$M$139,0)</f>
        <v>1</v>
      </c>
      <c r="O109" s="426"/>
    </row>
    <row r="110" spans="10:15" x14ac:dyDescent="0.2">
      <c r="J110" s="832" t="s">
        <v>299</v>
      </c>
      <c r="K110" s="819">
        <f>(ACFVCLivestockInsuranceTot)</f>
        <v>0</v>
      </c>
      <c r="L110" s="818">
        <f>(MCFVCLivestockInsuranceTot)</f>
        <v>0</v>
      </c>
      <c r="M110" s="827">
        <f>IF(DashboardChoiceIncExpGraph="Just Direct Marketing",0,IF(ScorecardGraphsChoice=Year1,Inputs!$K110,Inputs!$L110))</f>
        <v>0</v>
      </c>
      <c r="N110" s="828">
        <f>RANK(Inputs!$M110,Inputs!$M$84:$M$139,0)</f>
        <v>1</v>
      </c>
      <c r="O110" s="426"/>
    </row>
    <row r="111" spans="10:15" x14ac:dyDescent="0.2">
      <c r="J111" s="833" t="s">
        <v>298</v>
      </c>
      <c r="K111" s="814">
        <f>(ACFVCGrazingTot)</f>
        <v>0</v>
      </c>
      <c r="L111" s="813">
        <f>(MCFVCGrazingTot)</f>
        <v>0</v>
      </c>
      <c r="M111" s="829">
        <f>IF(DashboardChoiceIncExpGraph="Just Direct Marketing",0,IF(ScorecardGraphsChoice=Year1,Inputs!$K111,Inputs!$L111))</f>
        <v>0</v>
      </c>
      <c r="N111" s="830">
        <f>RANK(Inputs!$M111,Inputs!$M$84:$M$139,0)</f>
        <v>1</v>
      </c>
      <c r="O111" s="426"/>
    </row>
    <row r="112" spans="10:15" x14ac:dyDescent="0.2">
      <c r="J112" s="822" t="s">
        <v>297</v>
      </c>
      <c r="K112" s="819">
        <f>(ACFVCGovProgTot)</f>
        <v>0</v>
      </c>
      <c r="L112" s="818">
        <f>(MCFVCGovProgTot)</f>
        <v>0</v>
      </c>
      <c r="M112" s="827">
        <f>IF(DashboardChoiceIncExpGraph="Just Direct Marketing",0,IF(ScorecardGraphsChoice=Year1,Inputs!$K112,Inputs!$L112))</f>
        <v>0</v>
      </c>
      <c r="N112" s="828">
        <f>RANK(Inputs!$M112,Inputs!$M$84:$M$139,0)</f>
        <v>1</v>
      </c>
      <c r="O112" s="426"/>
    </row>
    <row r="113" spans="10:15" ht="25.5" x14ac:dyDescent="0.2">
      <c r="J113" s="823" t="s">
        <v>296</v>
      </c>
      <c r="K113" s="814">
        <f>(ACFVCLivestockConsultTot)</f>
        <v>0</v>
      </c>
      <c r="L113" s="813">
        <f>(MCFVCLivestockConsultTot)</f>
        <v>0</v>
      </c>
      <c r="M113" s="829">
        <f>IF(DashboardChoiceIncExpGraph="Just Direct Marketing",0,IF(ScorecardGraphsChoice=Year1,Inputs!$K113,Inputs!$L113))</f>
        <v>0</v>
      </c>
      <c r="N113" s="830">
        <f>RANK(Inputs!$M113,Inputs!$M$84:$M$139,0)</f>
        <v>1</v>
      </c>
      <c r="O113" s="426"/>
    </row>
    <row r="114" spans="10:15" x14ac:dyDescent="0.2">
      <c r="J114" s="832" t="s">
        <v>291</v>
      </c>
      <c r="K114" s="819">
        <f>(ACFVCLaborTot)</f>
        <v>0</v>
      </c>
      <c r="L114" s="818">
        <f>(MCFVCLaborTot)</f>
        <v>0</v>
      </c>
      <c r="M114" s="827">
        <f>IF(DashboardChoiceIncExpGraph="Just Direct Marketing",0,IF(ScorecardGraphsChoice=Year1,Inputs!$K114,Inputs!$L114))</f>
        <v>0</v>
      </c>
      <c r="N114" s="828">
        <f>RANK(Inputs!$M114,Inputs!$M$84:$M$139,0)</f>
        <v>1</v>
      </c>
      <c r="O114" s="426"/>
    </row>
    <row r="115" spans="10:15" ht="25.5" x14ac:dyDescent="0.2">
      <c r="J115" s="833" t="s">
        <v>45</v>
      </c>
      <c r="K115" s="812">
        <f>(ACFVCTaxesTot)</f>
        <v>0</v>
      </c>
      <c r="L115" s="813">
        <f>(MCFVCTaxesTot)</f>
        <v>0</v>
      </c>
      <c r="M115" s="829">
        <f>IF(DashboardChoiceIncExpGraph="Just Direct Marketing",0,IF(ScorecardGraphsChoice=Year1,Inputs!$K115,Inputs!$L115))</f>
        <v>0</v>
      </c>
      <c r="N115" s="830">
        <f>RANK(Inputs!$M115,Inputs!$M$84:$M$139,0)</f>
        <v>1</v>
      </c>
      <c r="O115" s="426"/>
    </row>
    <row r="116" spans="10:15" x14ac:dyDescent="0.2">
      <c r="J116" s="832" t="s">
        <v>369</v>
      </c>
      <c r="K116" s="817">
        <f>(ACFVCOthTot)</f>
        <v>0</v>
      </c>
      <c r="L116" s="818">
        <f>(MCFVCOthTot)</f>
        <v>0</v>
      </c>
      <c r="M116" s="827">
        <f>IF(DashboardChoiceIncExpGraph="Just Direct Marketing",0,IF(ScorecardGraphsChoice=Year1,Inputs!$K116,Inputs!$L116))</f>
        <v>0</v>
      </c>
      <c r="N116" s="828">
        <f>RANK(Inputs!$M116,Inputs!$M$84:$M$139,0)</f>
        <v>1</v>
      </c>
      <c r="O116" s="426"/>
    </row>
    <row r="117" spans="10:15" ht="25.5" x14ac:dyDescent="0.2">
      <c r="J117" s="823" t="s">
        <v>290</v>
      </c>
      <c r="K117" s="814">
        <f>(ACFFCMachLeaseTot)</f>
        <v>0</v>
      </c>
      <c r="L117" s="834">
        <f>(MCFFCMachLeaseTot)</f>
        <v>0</v>
      </c>
      <c r="M117" s="829">
        <f>IF(DashboardChoiceIncExpGraph="Just Direct Marketing",0,IF(ScorecardGraphsChoice=Year1,Inputs!$K117,Inputs!$L117))</f>
        <v>0</v>
      </c>
      <c r="N117" s="830">
        <f>RANK(Inputs!$M117,Inputs!$M$84:$M$139,0)</f>
        <v>1</v>
      </c>
      <c r="O117" s="426"/>
    </row>
    <row r="118" spans="10:15" x14ac:dyDescent="0.2">
      <c r="J118" s="831" t="s">
        <v>427</v>
      </c>
      <c r="K118" s="817">
        <f>(ACFFCPermitTot)</f>
        <v>0</v>
      </c>
      <c r="L118" s="818">
        <f>(MCFFCPermitTot)</f>
        <v>0</v>
      </c>
      <c r="M118" s="827">
        <f>IF(DashboardChoiceIncExpGraph="Just Direct Marketing",0,IF(ScorecardGraphsChoice=Year1,Inputs!$K118,Inputs!$L118))</f>
        <v>0</v>
      </c>
      <c r="N118" s="828">
        <f>RANK(Inputs!$M118,Inputs!$M$84:$M$139,0)</f>
        <v>1</v>
      </c>
      <c r="O118" s="426"/>
    </row>
    <row r="119" spans="10:15" ht="25.5" x14ac:dyDescent="0.2">
      <c r="J119" s="833" t="s">
        <v>312</v>
      </c>
      <c r="K119" s="812"/>
      <c r="L119" s="813"/>
      <c r="M119" s="829">
        <f>IF(DashboardChoiceIncExpGraph="Just Direct Marketing",0,IF(ScorecardGraphsChoice=Year1,Inputs!$K119,Inputs!$L119))</f>
        <v>0</v>
      </c>
      <c r="N119" s="830">
        <f>RANK(Inputs!$M119,Inputs!$M$84:$M$139,0)</f>
        <v>1</v>
      </c>
      <c r="O119" s="426"/>
    </row>
    <row r="120" spans="10:15" x14ac:dyDescent="0.2">
      <c r="J120" s="832" t="s">
        <v>313</v>
      </c>
      <c r="K120" s="817"/>
      <c r="L120" s="818"/>
      <c r="M120" s="827">
        <f>IF(DashboardChoiceIncExpGraph="Just Direct Marketing",0,IF(ScorecardGraphsChoice=Year1,Inputs!$K120,Inputs!$L120))</f>
        <v>0</v>
      </c>
      <c r="N120" s="828">
        <f>RANK(Inputs!$M120,Inputs!$M$84:$M$139,0)</f>
        <v>1</v>
      </c>
      <c r="O120" s="426"/>
    </row>
    <row r="121" spans="10:15" ht="25.5" x14ac:dyDescent="0.2">
      <c r="J121" s="823" t="s">
        <v>288</v>
      </c>
      <c r="K121" s="812">
        <f>(ACFFCProfTot)</f>
        <v>0</v>
      </c>
      <c r="L121" s="813">
        <f>(MCFFCProfTot)</f>
        <v>0</v>
      </c>
      <c r="M121" s="829">
        <f>IF(DashboardChoiceIncExpGraph="Just Direct Marketing",0,IF(ScorecardGraphsChoice=Year1,Inputs!$K121,Inputs!$L121))</f>
        <v>0</v>
      </c>
      <c r="N121" s="830">
        <f>RANK(Inputs!$M121,Inputs!$M$84:$M$139,0)</f>
        <v>1</v>
      </c>
      <c r="O121" s="426"/>
    </row>
    <row r="122" spans="10:15" x14ac:dyDescent="0.2">
      <c r="J122" s="413" t="str">
        <f>CONCATENATE("DM-",'Final Income and Cash Flows'!B101)</f>
        <v>DM-Labor</v>
      </c>
      <c r="K122" s="827">
        <f>IF(HowSell="Direct to Processor",0,ACFDMVCLaborTot)</f>
        <v>0</v>
      </c>
      <c r="L122" s="827">
        <f>IF(HowSell="Direct to Processor",0,MCFDMVCLaborTot)</f>
        <v>0</v>
      </c>
      <c r="M122" s="827">
        <f>IF(DashboardChoiceIncExpGraph="Just ag",0,IF(ScorecardGraphsChoice=Year1,Inputs!$K122,Inputs!$L122))</f>
        <v>0</v>
      </c>
      <c r="N122" s="828">
        <f>RANK(Inputs!$M122,Inputs!$M$84:$M$139,0)</f>
        <v>1</v>
      </c>
      <c r="O122" s="426"/>
    </row>
    <row r="123" spans="10:15" x14ac:dyDescent="0.2">
      <c r="J123" s="411" t="str">
        <f>CONCATENATE("DM-",'Final Income and Cash Flows'!B102)</f>
        <v>DM-Insurance</v>
      </c>
      <c r="K123" s="829">
        <f>IF(HowSell="Direct to Processor",0,ACFDMVCInsTot)</f>
        <v>0</v>
      </c>
      <c r="L123" s="829">
        <f>IF(HowSell="Direct to Processor",0,MCFDMVCInsTot)</f>
        <v>0</v>
      </c>
      <c r="M123" s="829">
        <f>IF(DashboardChoiceIncExpGraph="Just ag",0,IF(ScorecardGraphsChoice=Year1,Inputs!$K123,Inputs!$L123))</f>
        <v>0</v>
      </c>
      <c r="N123" s="830">
        <f>RANK(Inputs!$M123,Inputs!$M$84:$M$139,0)</f>
        <v>1</v>
      </c>
      <c r="O123" s="426"/>
    </row>
    <row r="124" spans="10:15" x14ac:dyDescent="0.2">
      <c r="J124" s="413" t="str">
        <f>CONCATENATE("DM-",'Final Income and Cash Flows'!B103)</f>
        <v>DM-Packaging</v>
      </c>
      <c r="K124" s="827">
        <f>IF(HowSell="Direct to Processor",0,ACFDMVCPackTot)</f>
        <v>0</v>
      </c>
      <c r="L124" s="827">
        <f>IF(HowSell="Direct to Processor",0,MCFDMVCPackTot)</f>
        <v>0</v>
      </c>
      <c r="M124" s="827">
        <f>IF(DashboardChoiceIncExpGraph="Just ag",0,IF(ScorecardGraphsChoice=Year1,Inputs!$K124,Inputs!$L124))</f>
        <v>0</v>
      </c>
      <c r="N124" s="828">
        <f>RANK(Inputs!$M124,Inputs!$M$84:$M$139,0)</f>
        <v>1</v>
      </c>
      <c r="O124" s="426"/>
    </row>
    <row r="125" spans="10:15" x14ac:dyDescent="0.2">
      <c r="J125" s="411" t="str">
        <f>CONCATENATE("DM-",'Final Income and Cash Flows'!B104)</f>
        <v>DM-Processing Supplies</v>
      </c>
      <c r="K125" s="829">
        <f>IF(HowSell="Direct to Processor",0,ACFDMVCSuppliesTot)</f>
        <v>0</v>
      </c>
      <c r="L125" s="829">
        <f>IF(HowSell="Direct to Processor",0,MCFDMVCSuppliesTot)</f>
        <v>0</v>
      </c>
      <c r="M125" s="829">
        <f>IF(DashboardChoiceIncExpGraph="Just ag",0,IF(ScorecardGraphsChoice=Year1,Inputs!$K125,Inputs!$L125))</f>
        <v>0</v>
      </c>
      <c r="N125" s="830">
        <f>RANK(Inputs!$M125,Inputs!$M$84:$M$139,0)</f>
        <v>1</v>
      </c>
      <c r="O125" s="426"/>
    </row>
    <row r="126" spans="10:15" x14ac:dyDescent="0.2">
      <c r="J126" s="413" t="str">
        <f>CONCATENATE("DM-",'Final Income and Cash Flows'!B105)</f>
        <v>DM-Market Supplies</v>
      </c>
      <c r="K126" s="827">
        <f>IF(HowSell="Direct to Processor",0,ACFDMVCMktSuppTot)</f>
        <v>0</v>
      </c>
      <c r="L126" s="827">
        <f>IF(HowSell="Direct to Processor",0,MCFDMVCMktSuppTot)</f>
        <v>0</v>
      </c>
      <c r="M126" s="827">
        <f>IF(DashboardChoiceIncExpGraph="Just ag",0,IF(ScorecardGraphsChoice=Year1,Inputs!$K126,Inputs!$L126))</f>
        <v>0</v>
      </c>
      <c r="N126" s="828">
        <f>RANK(Inputs!$M126,Inputs!$M$84:$M$139,0)</f>
        <v>1</v>
      </c>
      <c r="O126" s="426"/>
    </row>
    <row r="127" spans="10:15" x14ac:dyDescent="0.2">
      <c r="J127" s="411" t="str">
        <f>CONCATENATE("DM-",'Final Income and Cash Flows'!B106)</f>
        <v>DM-Shipping</v>
      </c>
      <c r="K127" s="829">
        <f>IF(HowSell="Direct to Processor",0,ACFDMVCShippingTot)</f>
        <v>0</v>
      </c>
      <c r="L127" s="829">
        <f>IF(HowSell="Direct to Processor",0,MCFDMVCShippingTot)</f>
        <v>0</v>
      </c>
      <c r="M127" s="829">
        <f>IF(DashboardChoiceIncExpGraph="Just ag",0,IF(ScorecardGraphsChoice=Year1,Inputs!$K127,Inputs!$L127))</f>
        <v>0</v>
      </c>
      <c r="N127" s="830">
        <f>RANK(Inputs!$M127,Inputs!$M$84:$M$139,0)</f>
        <v>1</v>
      </c>
      <c r="O127" s="426"/>
    </row>
    <row r="128" spans="10:15" x14ac:dyDescent="0.2">
      <c r="J128" s="413" t="str">
        <f>CONCATENATE("DM-",'Final Income and Cash Flows'!B107)</f>
        <v>DM-Utilities</v>
      </c>
      <c r="K128" s="827">
        <f>IF(HowSell="Direct to Processor",0,ACFDMVCUtilTot)</f>
        <v>0</v>
      </c>
      <c r="L128" s="827">
        <f>IF(HowSell="Direct to Processor",0,MCFDMVCUtilTot)</f>
        <v>0</v>
      </c>
      <c r="M128" s="827">
        <f>IF(DashboardChoiceIncExpGraph="Just ag",0,IF(ScorecardGraphsChoice=Year1,Inputs!$K128,Inputs!$L128))</f>
        <v>0</v>
      </c>
      <c r="N128" s="828">
        <f>RANK(Inputs!$M128,Inputs!$M$84:$M$139,0)</f>
        <v>1</v>
      </c>
      <c r="O128" s="426"/>
    </row>
    <row r="129" spans="10:15" x14ac:dyDescent="0.2">
      <c r="J129" s="411" t="str">
        <f>CONCATENATE("DM-",'Final Income and Cash Flows'!B108)</f>
        <v>DM-Cold Storage Fees</v>
      </c>
      <c r="K129" s="829">
        <f>IF(HowSell="Direct to Processor",0,ACFDMVCColdTot)</f>
        <v>0</v>
      </c>
      <c r="L129" s="829">
        <f>IF(HowSell="Direct to Processor",0,MCFDMVCColdTot)</f>
        <v>0</v>
      </c>
      <c r="M129" s="829">
        <f>IF(DashboardChoiceIncExpGraph="Just ag",0,IF(ScorecardGraphsChoice=Year1,Inputs!$K129,Inputs!$L129))</f>
        <v>0</v>
      </c>
      <c r="N129" s="830">
        <f>RANK(Inputs!$M129,Inputs!$M$84:$M$139,0)</f>
        <v>1</v>
      </c>
      <c r="O129" s="426"/>
    </row>
    <row r="130" spans="10:15" x14ac:dyDescent="0.2">
      <c r="J130" s="413" t="str">
        <f>CONCATENATE("DM-",'Final Income and Cash Flows'!B109)</f>
        <v>DM-Purchased for Resale</v>
      </c>
      <c r="K130" s="827">
        <f>IF(HowSell="Direct to Processor",0,ACFDMVCResaleTot)</f>
        <v>0</v>
      </c>
      <c r="L130" s="827">
        <f>IF(HowSell="Direct to Processor",0,MCFDMVCResaleTot)</f>
        <v>0</v>
      </c>
      <c r="M130" s="827">
        <f>IF(DashboardChoiceIncExpGraph="Just ag",0,IF(ScorecardGraphsChoice=Year1,Inputs!$K130,Inputs!$L130))</f>
        <v>0</v>
      </c>
      <c r="N130" s="828">
        <f>RANK(Inputs!$M130,Inputs!$M$84:$M$139,0)</f>
        <v>1</v>
      </c>
      <c r="O130" s="426"/>
    </row>
    <row r="131" spans="10:15" x14ac:dyDescent="0.2">
      <c r="J131" s="411" t="str">
        <f>CONCATENATE("DM-",'Final Income and Cash Flows'!B110)</f>
        <v>DM-Other Direct Mkt Direct Expenses</v>
      </c>
      <c r="K131" s="829">
        <f>IF(HowSell="Direct to Processor",0,ACFDMVCOthTot)</f>
        <v>0</v>
      </c>
      <c r="L131" s="829">
        <f>IF(HowSell="Direct to Processor",0,MCFDMVCOthTot)</f>
        <v>0</v>
      </c>
      <c r="M131" s="829">
        <f>IF(DashboardChoiceIncExpGraph="Just ag",0,IF(ScorecardGraphsChoice=Year1,Inputs!$K131,Inputs!$L131))</f>
        <v>0</v>
      </c>
      <c r="N131" s="830">
        <f>RANK(Inputs!$M131,Inputs!$M$84:$M$139,0)</f>
        <v>1</v>
      </c>
      <c r="O131" s="426"/>
    </row>
    <row r="132" spans="10:15" x14ac:dyDescent="0.2">
      <c r="J132" s="413" t="str">
        <f>CONCATENATE("DM-",'Final Income and Cash Flows'!B114)</f>
        <v>DM-Facility Rent / Mortgage</v>
      </c>
      <c r="K132" s="827">
        <f>IF(HowSell="Direct to Processor",0,ACFDMFCRentTot)</f>
        <v>0</v>
      </c>
      <c r="L132" s="827">
        <f>IF(HowSell="Direct to Processor",0,MCFDMFCRentTot)</f>
        <v>0</v>
      </c>
      <c r="M132" s="827">
        <f>IF(DashboardChoiceIncExpGraph="Just ag",0,IF(ScorecardGraphsChoice=Year1,Inputs!$K132,Inputs!$L132))</f>
        <v>0</v>
      </c>
      <c r="N132" s="828">
        <f>RANK(Inputs!$M132,Inputs!$M$84:$M$139,0)</f>
        <v>1</v>
      </c>
      <c r="O132" s="426"/>
    </row>
    <row r="133" spans="10:15" x14ac:dyDescent="0.2">
      <c r="J133" s="411" t="str">
        <f>CONCATENATE("DM-",'Final Income and Cash Flows'!B115)</f>
        <v>DM-Promotion &amp; Advertising</v>
      </c>
      <c r="K133" s="829">
        <f>IF(HowSell="Direct to Processor",0,ACFDMFCPromoTot)</f>
        <v>0</v>
      </c>
      <c r="L133" s="829">
        <f>IF(HowSell="Direct to Processor",0,MCFDMFCPromoTot)</f>
        <v>0</v>
      </c>
      <c r="M133" s="829">
        <f>IF(DashboardChoiceIncExpGraph="Just ag",0,IF(ScorecardGraphsChoice=Year1,Inputs!$K133,Inputs!$L133))</f>
        <v>0</v>
      </c>
      <c r="N133" s="830">
        <f>RANK(Inputs!$M133,Inputs!$M$84:$M$139,0)</f>
        <v>1</v>
      </c>
      <c r="O133" s="426"/>
    </row>
    <row r="134" spans="10:15" x14ac:dyDescent="0.2">
      <c r="J134" s="413" t="str">
        <f>CONCATENATE("DM-",'Final Income and Cash Flows'!B116)</f>
        <v>DM-Licenses / Permits</v>
      </c>
      <c r="K134" s="827">
        <f>IF(HowSell="Direct to Processor",0,ACFDMFCPermitTot)</f>
        <v>0</v>
      </c>
      <c r="L134" s="827">
        <f>IF(HowSell="Direct to Processor",0,MCFDMFCPermitTot)</f>
        <v>0</v>
      </c>
      <c r="M134" s="827">
        <f>IF(DashboardChoiceIncExpGraph="Just ag",0,IF(ScorecardGraphsChoice=Year1,Inputs!$K134,Inputs!$L134))</f>
        <v>0</v>
      </c>
      <c r="N134" s="828">
        <f>RANK(Inputs!$M134,Inputs!$M$84:$M$139,0)</f>
        <v>1</v>
      </c>
      <c r="O134" s="426"/>
    </row>
    <row r="135" spans="10:15" x14ac:dyDescent="0.2">
      <c r="J135" s="411" t="str">
        <f>CONCATENATE("DM-",'Final Income and Cash Flows'!B117)</f>
        <v>DM-Vehicle Expense</v>
      </c>
      <c r="K135" s="829">
        <f>IF(HowSell="Direct to Processor",0,ACFDMFCVehTot)</f>
        <v>0</v>
      </c>
      <c r="L135" s="829">
        <f>IF(HowSell="Direct to Processor",0,MCFDMFCVehTot)</f>
        <v>0</v>
      </c>
      <c r="M135" s="829">
        <f>IF(DashboardChoiceIncExpGraph="Just ag",0,IF(ScorecardGraphsChoice=Year1,Inputs!$K135,Inputs!$L135))</f>
        <v>0</v>
      </c>
      <c r="N135" s="830">
        <f>RANK(Inputs!$M135,Inputs!$M$84:$M$139,0)</f>
        <v>1</v>
      </c>
      <c r="O135" s="426"/>
    </row>
    <row r="136" spans="10:15" x14ac:dyDescent="0.2">
      <c r="J136" s="413" t="str">
        <f>CONCATENATE("DM-",'Final Income and Cash Flows'!B118)</f>
        <v>DM-Depreciation - Marketing Facilities &amp; Equipment</v>
      </c>
      <c r="K136" s="827">
        <f>IF(HowSell="Direct to Processor",0,ACFDMFCDeprTot)</f>
        <v>0</v>
      </c>
      <c r="L136" s="827">
        <f>IF(HowSell="Direct to Processor",0,MCFDMFCDeprTot)</f>
        <v>0</v>
      </c>
      <c r="M136" s="827">
        <f>IF(DashboardChoiceIncExpGraph="Just ag",0,IF(ScorecardGraphsChoice=Year1,Inputs!$K136,Inputs!$L136))</f>
        <v>0</v>
      </c>
      <c r="N136" s="828">
        <f>RANK(Inputs!$M136,Inputs!$M$84:$M$139,0)</f>
        <v>1</v>
      </c>
      <c r="O136" s="426"/>
    </row>
    <row r="137" spans="10:15" x14ac:dyDescent="0.2">
      <c r="J137" s="411" t="str">
        <f>CONCATENATE("DM-",'Final Income and Cash Flows'!B119)</f>
        <v>DM-Interest on Loans</v>
      </c>
      <c r="K137" s="829">
        <f>IF(HowSell="Direct to Processor",0,ACFDMFCIntTot)</f>
        <v>0</v>
      </c>
      <c r="L137" s="829">
        <f>IF(HowSell="Direct to Processor",0,MCFDMFCIntTot)</f>
        <v>0</v>
      </c>
      <c r="M137" s="829">
        <f>IF(DashboardChoiceIncExpGraph="Just ag",0,IF(ScorecardGraphsChoice=Year1,Inputs!$K137,Inputs!$L137))</f>
        <v>0</v>
      </c>
      <c r="N137" s="830">
        <f>RANK(Inputs!$M137,Inputs!$M$84:$M$139,0)</f>
        <v>1</v>
      </c>
      <c r="O137" s="426"/>
    </row>
    <row r="138" spans="10:15" x14ac:dyDescent="0.2">
      <c r="J138" s="413" t="str">
        <f>CONCATENATE("DM-",'Final Income and Cash Flows'!B120)</f>
        <v>DM-Misc Direct Mkt Overhead Expenses</v>
      </c>
      <c r="K138" s="827">
        <f>IF(HowSell="Direct to Processor",0,ACFDMFCMiscTot)</f>
        <v>0</v>
      </c>
      <c r="L138" s="827">
        <f>IF(HowSell="Direct to Processor",0,MCFDMFCMiscTot)</f>
        <v>0</v>
      </c>
      <c r="M138" s="827">
        <f>IF(DashboardChoiceIncExpGraph="Just ag",0,IF(ScorecardGraphsChoice=Year1,Inputs!$K138,Inputs!$L138))</f>
        <v>0</v>
      </c>
      <c r="N138" s="828">
        <f>RANK(Inputs!$M138,Inputs!$M$84:$M$139,0)</f>
        <v>1</v>
      </c>
      <c r="O138" s="426"/>
    </row>
    <row r="139" spans="10:15" x14ac:dyDescent="0.2">
      <c r="J139" s="411" t="str">
        <f>CONCATENATE("DM-",'Final Income and Cash Flows'!B121)</f>
        <v>DM-Other Direct Mkt Overhead Expenses</v>
      </c>
      <c r="K139" s="829">
        <f>IF(HowSell="Direct to Processor",0,ACFDMFCOthTot)</f>
        <v>0</v>
      </c>
      <c r="L139" s="829">
        <f>IF(HowSell="Direct to Processor",0,MCFDMFCOthTot)</f>
        <v>0</v>
      </c>
      <c r="M139" s="829">
        <f>IF(DashboardChoiceIncExpGraph="Just ag",0,IF(ScorecardGraphsChoice=Year1,Inputs!$K139,Inputs!$L139))</f>
        <v>0</v>
      </c>
      <c r="N139" s="830">
        <f>RANK(Inputs!$M139,Inputs!$M$84:$M$139,0)</f>
        <v>1</v>
      </c>
      <c r="O139" s="426"/>
    </row>
    <row r="152" spans="7:13" ht="13.5" thickBot="1" x14ac:dyDescent="0.25">
      <c r="J152" s="951" t="s">
        <v>710</v>
      </c>
      <c r="K152" s="952" t="s">
        <v>712</v>
      </c>
      <c r="L152" s="952" t="s">
        <v>713</v>
      </c>
      <c r="M152" s="951" t="s">
        <v>714</v>
      </c>
    </row>
    <row r="153" spans="7:13" ht="13.5" thickTop="1" x14ac:dyDescent="0.2">
      <c r="G153" t="e">
        <f ca="1">OFFSET(L154:L169,0,0,COUNT(K154:K169),1)</f>
        <v>#VALUE!</v>
      </c>
      <c r="J153" s="953" t="s">
        <v>711</v>
      </c>
      <c r="K153" s="954">
        <v>0</v>
      </c>
      <c r="L153" s="954" t="s">
        <v>711</v>
      </c>
    </row>
    <row r="154" spans="7:13" x14ac:dyDescent="0.2">
      <c r="J154" s="955" t="s">
        <v>306</v>
      </c>
      <c r="K154" s="956">
        <f>IF(COUNTIF('Schedule F Entry'!$C$58:$C$63,Inputs!$J154)&gt;=1,"",ROW())</f>
        <v>154</v>
      </c>
      <c r="L154" s="956" t="str">
        <f ca="1">IFERROR(INDEX($J$154:$J$169,MATCH(M154,$K$154:$K$169,0)),"")</f>
        <v>Drying Expense</v>
      </c>
      <c r="M154">
        <f t="array" aca="1" ref="M154:M169" ca="1">SMALL(K154:K169,ROW(INDIRECT("1:"&amp;ROWS(J154:J169))))</f>
        <v>154</v>
      </c>
    </row>
    <row r="155" spans="7:13" x14ac:dyDescent="0.2">
      <c r="J155" s="957" t="s">
        <v>308</v>
      </c>
      <c r="K155" s="956">
        <f>IF(COUNTIF('Schedule F Entry'!$C$58:$C$63,Inputs!$J155)&gt;=1,"",ROW())</f>
        <v>155</v>
      </c>
      <c r="L155" s="956" t="str">
        <f t="shared" ref="L155:L169" ca="1" si="0">IFERROR(INDEX($J$154:$J$169,MATCH(M155,$K$154:$K$169,0)),"")</f>
        <v>Greenhouse Supplies</v>
      </c>
      <c r="M155">
        <f ca="1"/>
        <v>155</v>
      </c>
    </row>
    <row r="156" spans="7:13" x14ac:dyDescent="0.2">
      <c r="J156" s="955" t="s">
        <v>310</v>
      </c>
      <c r="K156" s="956">
        <f>IF(COUNTIF('Schedule F Entry'!$C$58:$C$63,Inputs!$J156)&gt;=1,"",ROW())</f>
        <v>156</v>
      </c>
      <c r="L156" s="956" t="str">
        <f t="shared" ca="1" si="0"/>
        <v>Irrigation Energy</v>
      </c>
      <c r="M156">
        <f ca="1"/>
        <v>156</v>
      </c>
    </row>
    <row r="157" spans="7:13" x14ac:dyDescent="0.2">
      <c r="J157" s="958" t="s">
        <v>311</v>
      </c>
      <c r="K157" s="956">
        <f>IF(COUNTIF('Schedule F Entry'!$C$58:$C$63,Inputs!$J157)&gt;=1,"",ROW())</f>
        <v>157</v>
      </c>
      <c r="L157" s="956" t="str">
        <f t="shared" ca="1" si="0"/>
        <v>Crop Consultants</v>
      </c>
      <c r="M157">
        <f ca="1"/>
        <v>157</v>
      </c>
    </row>
    <row r="158" spans="7:13" x14ac:dyDescent="0.2">
      <c r="J158" s="959" t="s">
        <v>303</v>
      </c>
      <c r="K158" s="956">
        <f>IF(COUNTIF('Schedule F Entry'!$C$58:$C$63,Inputs!$J158)&gt;=1,"",ROW())</f>
        <v>158</v>
      </c>
      <c r="L158" s="956" t="str">
        <f t="shared" ca="1" si="0"/>
        <v>Crop Marketing (non-direct to consumer)</v>
      </c>
      <c r="M158">
        <f ca="1"/>
        <v>158</v>
      </c>
    </row>
    <row r="159" spans="7:13" x14ac:dyDescent="0.2">
      <c r="J159" s="960" t="s">
        <v>294</v>
      </c>
      <c r="K159" s="956">
        <f>IF(COUNTIF('Schedule F Entry'!$C$58:$C$63,Inputs!$J159)&gt;=1,"",ROW())</f>
        <v>159</v>
      </c>
      <c r="L159" s="956" t="str">
        <f t="shared" ca="1" si="0"/>
        <v>Livestock Supplies</v>
      </c>
      <c r="M159">
        <f ca="1"/>
        <v>159</v>
      </c>
    </row>
    <row r="160" spans="7:13" x14ac:dyDescent="0.2">
      <c r="J160" s="961" t="s">
        <v>299</v>
      </c>
      <c r="K160" s="956">
        <f>IF(COUNTIF('Schedule F Entry'!$C$58:$C$63,Inputs!$J160)&gt;=1,"",ROW())</f>
        <v>160</v>
      </c>
      <c r="L160" s="956" t="str">
        <f t="shared" ca="1" si="0"/>
        <v>Livestock Insurance</v>
      </c>
      <c r="M160">
        <f ca="1"/>
        <v>160</v>
      </c>
    </row>
    <row r="161" spans="10:13" x14ac:dyDescent="0.2">
      <c r="J161" s="960" t="s">
        <v>298</v>
      </c>
      <c r="K161" s="956">
        <f>IF(COUNTIF('Schedule F Entry'!$C$58:$C$63,Inputs!$J161)&gt;=1,"",ROW())</f>
        <v>161</v>
      </c>
      <c r="L161" s="956" t="str">
        <f t="shared" ca="1" si="0"/>
        <v>Grazing Fees</v>
      </c>
      <c r="M161">
        <f ca="1"/>
        <v>161</v>
      </c>
    </row>
    <row r="162" spans="10:13" ht="25.5" x14ac:dyDescent="0.2">
      <c r="J162" s="961" t="s">
        <v>297</v>
      </c>
      <c r="K162" s="956">
        <f>IF(COUNTIF('Schedule F Entry'!$C$58:$C$63,Inputs!$J162)&gt;=1,"",ROW())</f>
        <v>162</v>
      </c>
      <c r="L162" s="956" t="str">
        <f t="shared" ca="1" si="0"/>
        <v>Government Program Expense</v>
      </c>
      <c r="M162">
        <f ca="1"/>
        <v>162</v>
      </c>
    </row>
    <row r="163" spans="10:13" ht="25.5" x14ac:dyDescent="0.2">
      <c r="J163" s="960" t="s">
        <v>296</v>
      </c>
      <c r="K163" s="956">
        <f>IF(COUNTIF('Schedule F Entry'!$C$58:$C$63,Inputs!$J163)&gt;=1,"",ROW())</f>
        <v>163</v>
      </c>
      <c r="L163" s="956" t="str">
        <f t="shared" ca="1" si="0"/>
        <v>Livestock Consultants</v>
      </c>
      <c r="M163">
        <f ca="1"/>
        <v>163</v>
      </c>
    </row>
    <row r="164" spans="10:13" x14ac:dyDescent="0.2">
      <c r="J164" s="961" t="s">
        <v>295</v>
      </c>
      <c r="K164" s="956">
        <f>IF(COUNTIF('Schedule F Entry'!$C$58:$C$63,Inputs!$J164)&gt;=1,"",ROW())</f>
        <v>164</v>
      </c>
      <c r="L164" s="956" t="str">
        <f t="shared" ca="1" si="0"/>
        <v>Livestock Marketing</v>
      </c>
      <c r="M164">
        <f ca="1"/>
        <v>164</v>
      </c>
    </row>
    <row r="165" spans="10:13" ht="25.5" x14ac:dyDescent="0.2">
      <c r="J165" s="960" t="s">
        <v>45</v>
      </c>
      <c r="K165" s="956">
        <f>IF(COUNTIF('Schedule F Entry'!$C$58:$C$63,Inputs!$J165)&gt;=1,"",ROW())</f>
        <v>165</v>
      </c>
      <c r="L165" s="956" t="str">
        <f t="shared" ca="1" si="0"/>
        <v xml:space="preserve">Taxes, Fees &amp; Assessments                                  </v>
      </c>
      <c r="M165">
        <f ca="1"/>
        <v>165</v>
      </c>
    </row>
    <row r="166" spans="10:13" x14ac:dyDescent="0.2">
      <c r="J166" s="955" t="s">
        <v>289</v>
      </c>
      <c r="K166" s="956">
        <f>IF(COUNTIF('Schedule F Entry'!$C$58:$C$63,Inputs!$J166)&gt;=1,"",ROW())</f>
        <v>166</v>
      </c>
      <c r="L166" s="956" t="str">
        <f t="shared" ca="1" si="0"/>
        <v>Farm Insurance</v>
      </c>
      <c r="M166">
        <f ca="1"/>
        <v>166</v>
      </c>
    </row>
    <row r="167" spans="10:13" ht="25.5" x14ac:dyDescent="0.2">
      <c r="J167" s="962" t="s">
        <v>288</v>
      </c>
      <c r="K167" s="956">
        <f>IF(COUNTIF('Schedule F Entry'!$C$58:$C$63,Inputs!$J167)&gt;=1,"",ROW())</f>
        <v>167</v>
      </c>
      <c r="L167" s="956" t="str">
        <f t="shared" ca="1" si="0"/>
        <v>Dues &amp; Professional Fees</v>
      </c>
      <c r="M167">
        <f ca="1"/>
        <v>167</v>
      </c>
    </row>
    <row r="168" spans="10:13" ht="25.5" x14ac:dyDescent="0.2">
      <c r="J168" s="963" t="s">
        <v>708</v>
      </c>
      <c r="K168" s="956">
        <f>IF(COUNTIF('Schedule F Entry'!$C$58:$C$63,Inputs!$J168)&gt;=1,"",ROW())</f>
        <v>168</v>
      </c>
      <c r="L168" s="956" t="str">
        <f t="shared" ca="1" si="0"/>
        <v>Misc Operating Expenses</v>
      </c>
      <c r="M168">
        <f ca="1"/>
        <v>168</v>
      </c>
    </row>
    <row r="169" spans="10:13" ht="25.5" x14ac:dyDescent="0.2">
      <c r="J169" s="964" t="s">
        <v>709</v>
      </c>
      <c r="K169" s="956">
        <f>IF(COUNTIF('Schedule F Entry'!$C$58:$C$63,Inputs!$J169)&gt;=1,"",ROW())</f>
        <v>169</v>
      </c>
      <c r="L169" s="956" t="str">
        <f t="shared" ca="1" si="0"/>
        <v>Misc Overhead Expenses</v>
      </c>
      <c r="M169">
        <f ca="1"/>
        <v>169</v>
      </c>
    </row>
  </sheetData>
  <conditionalFormatting sqref="L84 L88:L96 L98:L100 L102:L111">
    <cfRule type="expression" dxfId="29" priority="7">
      <formula>ProjTime="Monthly"</formula>
    </cfRule>
  </conditionalFormatting>
  <conditionalFormatting sqref="L112:L121">
    <cfRule type="expression" dxfId="28" priority="6">
      <formula>ProjTime="Monthly"</formula>
    </cfRule>
  </conditionalFormatting>
  <conditionalFormatting sqref="L122:L131">
    <cfRule type="expression" dxfId="27" priority="4">
      <formula>ProjTime="Monthly"</formula>
    </cfRule>
  </conditionalFormatting>
  <conditionalFormatting sqref="L132:L139">
    <cfRule type="expression" dxfId="26" priority="2">
      <formula>ProjTime="Monthly"</formula>
    </cfRule>
  </conditionalFormatting>
  <conditionalFormatting sqref="L83">
    <cfRule type="expression" dxfId="25" priority="1">
      <formula>ProjTime="Monthly"</formula>
    </cfRule>
  </conditionalFormatting>
  <dataValidations count="19">
    <dataValidation type="custom" allowBlank="1" showInputMessage="1" showErrorMessage="1" errorTitle="You only sell to processor" error="In general information, you marked that you only sell your product directly to processors.  To change this, click the blue button next to &quot;Direct Marketing Income and Costs&quot;" sqref="K84:L121" xr:uid="{00000000-0002-0000-0100-000000000000}">
      <formula1>HowSell&lt;&gt;"Direct to Consumer"</formula1>
    </dataValidation>
    <dataValidation type="custom" errorStyle="information" allowBlank="1" error="=IF(CellEntry()=&quot;&quot;,IF(MCFDMVCColdTot&lt;&gt;0,MCFDMVCColdTot,0),CellEntry())" sqref="L129" xr:uid="{00000000-0002-0000-0100-000001000000}">
      <formula1>(1=1)</formula1>
    </dataValidation>
    <dataValidation type="custom" errorStyle="information" allowBlank="1" error="=IF(CellEntry()=&quot;&quot;,IF(MCFDMVCLaborTot&lt;&gt;0,MCFDMVCLaborTot,0),CellEntry())" sqref="L122" xr:uid="{00000000-0002-0000-0100-000002000000}">
      <formula1>(1=1)</formula1>
    </dataValidation>
    <dataValidation type="custom" errorStyle="information" allowBlank="1" error="=IF(CellEntry()=&quot;&quot;,IF(MCFDMVCPackTot&lt;&gt;0,MCFDMVCPackTot,0),CellEntry())" sqref="L124" xr:uid="{00000000-0002-0000-0100-000003000000}">
      <formula1>(1=1)</formula1>
    </dataValidation>
    <dataValidation type="custom" errorStyle="information" allowBlank="1" error="=IF(CellEntry()=&quot;&quot;,IF(MCFDMVCUtilTot&lt;&gt;0,MCFDMVCUtilTot,0),CellEntry())" sqref="L128" xr:uid="{00000000-0002-0000-0100-000004000000}">
      <formula1>(1=1)</formula1>
    </dataValidation>
    <dataValidation type="custom" errorStyle="information" allowBlank="1" error="=IF(CellEntry()=&quot;&quot;,IF(MCFDMVCPurchFinTot&lt;&gt;0,MCFDMVCPurchFinTot,0),CellEntry())" sqref="L130" xr:uid="{00000000-0002-0000-0100-000005000000}">
      <formula1>(1=1)</formula1>
    </dataValidation>
    <dataValidation type="custom" errorStyle="information" allowBlank="1" error="=IF(CellEntry()=&quot;&quot;,IF(MCFDMVCSuppliesTot&lt;&gt;0,MCFDMVCSuppliesTot,0),CellEntry())" sqref="L125" xr:uid="{00000000-0002-0000-0100-000006000000}">
      <formula1>(1=1)</formula1>
    </dataValidation>
    <dataValidation type="custom" errorStyle="information" allowBlank="1" error="=IF(CellEntry()=&quot;&quot;,IF(MCFDMVCOthTot&lt;&gt;0,MCFDMVCOthTot,0),CellEntry())" sqref="L131" xr:uid="{00000000-0002-0000-0100-000007000000}">
      <formula1>(1=1)</formula1>
    </dataValidation>
    <dataValidation type="custom" errorStyle="information" allowBlank="1" error="=IF(CellEntry()=&quot;&quot;,IF(MCFDMVCInsTot&lt;&gt;0,MCFDMVCInsTot,0),CellEntry())" sqref="L123" xr:uid="{00000000-0002-0000-0100-000008000000}">
      <formula1>(1=1)</formula1>
    </dataValidation>
    <dataValidation type="custom" errorStyle="information" allowBlank="1" error="=IF(CellEntry()=&quot;&quot;,IF(MCFDMVCMiscTot&lt;&gt;0,MCFDMVCMiscTot,0),CellEntry())" sqref="L126" xr:uid="{00000000-0002-0000-0100-000009000000}">
      <formula1>(1=1)</formula1>
    </dataValidation>
    <dataValidation type="custom" errorStyle="information" allowBlank="1" error="=IF(CellEntry()=&quot;&quot;,IF(MCFDMVCShippingTot&lt;&gt;0,MCFDMVCShippingTot,0),CellEntry())" sqref="L127" xr:uid="{00000000-0002-0000-0100-00000A000000}">
      <formula1>(1=1)</formula1>
    </dataValidation>
    <dataValidation type="custom" allowBlank="1" showInputMessage="1" showErrorMessage="1" errorTitle="You only sell to processor" error="In general information, you marked that you only sell your catch directly to processors.  To change this, click the blue button next to &quot;Direct Marketing Income and Costs&quot;" sqref="K122:K139" xr:uid="{00000000-0002-0000-0100-00000B000000}">
      <formula1>HowSell&lt;&gt;"Direct to Processor"</formula1>
    </dataValidation>
    <dataValidation type="custom" errorStyle="information" allowBlank="1" error="=IF(CellEntry()=&quot;&quot;,IF(MCFDMFCDeprTot&lt;&gt;0,MCFDMFCDeprTot,0),CellEntry())" sqref="L136:L137" xr:uid="{00000000-0002-0000-0100-00000C000000}">
      <formula1>(1=1)</formula1>
    </dataValidation>
    <dataValidation type="custom" errorStyle="information" allowBlank="1" error="=IF(CellEntry()=&quot;&quot;,IF(MCFDMFCPermitTot&lt;&gt;0,MCFDMFCPermitTot,0),CellEntry())" sqref="L134" xr:uid="{00000000-0002-0000-0100-00000D000000}">
      <formula1>(1=1)</formula1>
    </dataValidation>
    <dataValidation type="custom" errorStyle="information" allowBlank="1" error="=IF(CellEntry()=&quot;&quot;,IF(MCFDMFCRentTot&lt;&gt;0,MCFDMFCRentTot,0),CellEntry())" sqref="L132" xr:uid="{00000000-0002-0000-0100-00000E000000}">
      <formula1>(1=1)</formula1>
    </dataValidation>
    <dataValidation type="custom" errorStyle="information" allowBlank="1" error="=IF(CellEntry()=&quot;&quot;,IF(MCFDMFCMiscTot&lt;&gt;0,MCFDMFCMiscTot,0),CellEntry())" sqref="L138" xr:uid="{00000000-0002-0000-0100-00000F000000}">
      <formula1>(1=1)</formula1>
    </dataValidation>
    <dataValidation type="custom" errorStyle="information" allowBlank="1" error="=IF(CellEntry()=&quot;&quot;,IF(MCFDMFCPromoTot&lt;&gt;0,MCFDMFCPromoTot,0),CellEntry())" sqref="L133" xr:uid="{00000000-0002-0000-0100-000010000000}">
      <formula1>(1=1)</formula1>
    </dataValidation>
    <dataValidation type="custom" errorStyle="information" allowBlank="1" error="=IF(CellEntry()=&quot;&quot;,IF(MCFDMFCVehTot&lt;&gt;0,MCFDMFCVehTot,0),CellEntry())" sqref="L135" xr:uid="{00000000-0002-0000-0100-000011000000}">
      <formula1>(1=1)</formula1>
    </dataValidation>
    <dataValidation type="custom" errorStyle="information" allowBlank="1" error="=IF(CellEntry()=&quot;&quot;,IF(MCFDMFCOthTot&lt;&gt;0,MCFDMFCOthTot,0),CellEntry())" sqref="L139" xr:uid="{00000000-0002-0000-0100-000012000000}">
      <formula1>(1=1)</formula1>
    </dataValidation>
  </dataValidations>
  <pageMargins left="0.7" right="0.7" top="0.75" bottom="0.75" header="0.3" footer="0.3"/>
  <pageSetup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29379" r:id="rId4" name="Drop Down 3">
              <controlPr locked="0" defaultSize="0" autoLine="0" autoPict="0">
                <anchor moveWithCells="1">
                  <from>
                    <xdr:col>10</xdr:col>
                    <xdr:colOff>180975</xdr:colOff>
                    <xdr:row>38</xdr:row>
                    <xdr:rowOff>19050</xdr:rowOff>
                  </from>
                  <to>
                    <xdr:col>11</xdr:col>
                    <xdr:colOff>523875</xdr:colOff>
                    <xdr:row>40</xdr:row>
                    <xdr:rowOff>19050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 id="{A238B148-47F5-4383-886D-35D2553919FC}">
            <xm:f>'Gen Info'!$K$17="Direct to Processor"</xm:f>
            <x14:dxf>
              <font>
                <color theme="0" tint="-0.499984740745262"/>
              </font>
              <fill>
                <patternFill>
                  <bgColor theme="0" tint="-0.34998626667073579"/>
                </patternFill>
              </fill>
            </x14:dxf>
          </x14:cfRule>
          <xm:sqref>K122:L131</xm:sqref>
        </x14:conditionalFormatting>
        <x14:conditionalFormatting xmlns:xm="http://schemas.microsoft.com/office/excel/2006/main">
          <x14:cfRule type="expression" priority="3" id="{849640E8-BD4B-4D84-BC7C-4B8FF3B15C3C}">
            <xm:f>'Gen Info'!$K$17="Direct to Processor"</xm:f>
            <x14:dxf>
              <font>
                <color theme="0" tint="-0.499984740745262"/>
              </font>
              <fill>
                <patternFill>
                  <bgColor theme="0" tint="-0.34998626667073579"/>
                </patternFill>
              </fill>
            </x14:dxf>
          </x14:cfRule>
          <xm:sqref>K132:L139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8CC052"/>
  </sheetPr>
  <dimension ref="A1:I134"/>
  <sheetViews>
    <sheetView showGridLines="0" workbookViewId="0"/>
  </sheetViews>
  <sheetFormatPr defaultColWidth="10" defaultRowHeight="15" customHeight="1" x14ac:dyDescent="0.2"/>
  <cols>
    <col min="1" max="1" width="49.7109375" style="14" customWidth="1"/>
    <col min="2" max="2" width="16.7109375" style="22" bestFit="1" customWidth="1"/>
    <col min="3" max="3" width="3.7109375" style="15" customWidth="1"/>
    <col min="4" max="4" width="49.7109375" style="15" customWidth="1"/>
    <col min="5" max="5" width="16.7109375" style="15" customWidth="1"/>
    <col min="6" max="6" width="3.7109375" style="15" customWidth="1"/>
    <col min="7" max="7" width="49.7109375" style="14" customWidth="1"/>
    <col min="8" max="8" width="16.7109375" style="14" customWidth="1"/>
    <col min="9" max="9" width="12" style="14" customWidth="1"/>
    <col min="10" max="16384" width="10" style="14"/>
  </cols>
  <sheetData>
    <row r="1" spans="1:9" ht="20.25" customHeight="1" x14ac:dyDescent="0.3">
      <c r="A1" s="4" t="s">
        <v>87</v>
      </c>
    </row>
    <row r="2" spans="1:9" ht="15" customHeight="1" x14ac:dyDescent="0.2">
      <c r="A2" s="1263" t="str">
        <f>IF(Name&gt;"",Name,IF(BusName&gt;"",BusName,""))</f>
        <v/>
      </c>
      <c r="B2" s="1263"/>
    </row>
    <row r="3" spans="1:9" ht="15" customHeight="1" x14ac:dyDescent="0.2">
      <c r="A3" s="80" t="s">
        <v>86</v>
      </c>
      <c r="B3" s="79">
        <f ca="1">GenDate</f>
        <v>44307</v>
      </c>
      <c r="C3" s="19"/>
      <c r="D3" s="19"/>
      <c r="E3" s="19"/>
      <c r="F3" s="19"/>
      <c r="G3" s="1264" t="str">
        <f>CONCATENATE("Balances as of ",TEXT(GenInfoBSDate,"mm/dd/yyyy"))</f>
        <v>Balances as of 01/00/1900</v>
      </c>
      <c r="H3" s="1264"/>
    </row>
    <row r="4" spans="1:9" ht="15" customHeight="1" x14ac:dyDescent="0.2">
      <c r="B4" s="14"/>
      <c r="C4" s="38"/>
      <c r="D4" s="38"/>
      <c r="E4" s="38"/>
      <c r="F4" s="19"/>
    </row>
    <row r="5" spans="1:9" ht="15" customHeight="1" x14ac:dyDescent="0.25">
      <c r="A5" s="1" t="s">
        <v>160</v>
      </c>
      <c r="B5" s="1041">
        <f>CACashTot+CADueProcTot+CAOthRecTot+CABusLoansRecTot+CAPrepaidTot+CAOtherTot</f>
        <v>0</v>
      </c>
      <c r="C5" s="38"/>
      <c r="D5" s="75" t="s">
        <v>508</v>
      </c>
      <c r="E5" s="1040">
        <f>NCEquipmentTot+NCBreedLivestockTot+NCBizVehTot+NCLandTot+NCBuildingsTot+NCRETot+NCOthBizTot</f>
        <v>0</v>
      </c>
      <c r="F5" s="19"/>
      <c r="G5" s="1" t="s">
        <v>239</v>
      </c>
      <c r="H5" s="1042">
        <f>PersCashTot+PersStockTot+PersLoanRTot+PersPropTot+PersVehicleTot+PersLifeInsTot+PersRETot+PersRetireTot+PersOthTot</f>
        <v>0</v>
      </c>
    </row>
    <row r="6" spans="1:9" ht="15" customHeight="1" x14ac:dyDescent="0.2">
      <c r="A6" s="1"/>
      <c r="B6" s="40"/>
      <c r="C6" s="38"/>
      <c r="D6" s="75"/>
      <c r="E6" s="32"/>
      <c r="F6" s="19"/>
      <c r="G6" s="1"/>
      <c r="H6" s="72"/>
    </row>
    <row r="7" spans="1:9" ht="15" customHeight="1" thickBot="1" x14ac:dyDescent="0.25">
      <c r="A7" s="441" t="s">
        <v>165</v>
      </c>
      <c r="B7" s="442" t="s">
        <v>74</v>
      </c>
      <c r="C7" s="38"/>
      <c r="D7" s="443" t="s">
        <v>238</v>
      </c>
      <c r="E7" s="442" t="s">
        <v>74</v>
      </c>
      <c r="F7" s="39"/>
      <c r="G7" s="441" t="s">
        <v>33</v>
      </c>
      <c r="H7" s="442" t="s">
        <v>74</v>
      </c>
      <c r="I7" s="39"/>
    </row>
    <row r="8" spans="1:9" s="17" customFormat="1" ht="15" customHeight="1" thickTop="1" x14ac:dyDescent="0.2">
      <c r="A8" s="280" t="s">
        <v>50</v>
      </c>
      <c r="B8" s="281"/>
      <c r="C8" s="16"/>
      <c r="D8" s="280" t="s">
        <v>238</v>
      </c>
      <c r="E8" s="286"/>
      <c r="F8" s="16"/>
      <c r="G8" s="280"/>
      <c r="H8" s="286"/>
      <c r="I8" s="20"/>
    </row>
    <row r="9" spans="1:9" s="17" customFormat="1" ht="15" customHeight="1" x14ac:dyDescent="0.2">
      <c r="A9" s="282" t="s">
        <v>88</v>
      </c>
      <c r="B9" s="283"/>
      <c r="C9" s="16"/>
      <c r="D9" s="282"/>
      <c r="E9" s="287"/>
      <c r="F9" s="16"/>
      <c r="G9" s="282"/>
      <c r="H9" s="287"/>
      <c r="I9" s="20"/>
    </row>
    <row r="10" spans="1:9" s="17" customFormat="1" ht="15" customHeight="1" x14ac:dyDescent="0.2">
      <c r="A10" s="284"/>
      <c r="B10" s="285"/>
      <c r="C10" s="16"/>
      <c r="D10" s="284"/>
      <c r="E10" s="288"/>
      <c r="F10" s="16"/>
      <c r="G10" s="284"/>
      <c r="H10" s="288"/>
      <c r="I10" s="20"/>
    </row>
    <row r="11" spans="1:9" s="17" customFormat="1" ht="15" customHeight="1" x14ac:dyDescent="0.2">
      <c r="A11" s="282"/>
      <c r="B11" s="283"/>
      <c r="C11" s="16"/>
      <c r="D11" s="282"/>
      <c r="E11" s="287"/>
      <c r="F11" s="16"/>
      <c r="G11" s="282"/>
      <c r="H11" s="287"/>
      <c r="I11" s="20"/>
    </row>
    <row r="12" spans="1:9" s="17" customFormat="1" ht="15" customHeight="1" x14ac:dyDescent="0.2">
      <c r="A12" s="212" t="str">
        <f>CONCATENATE("Sub-Total ",A7)</f>
        <v>Sub-Total Cash (cash, business checking &amp; savings accounts)</v>
      </c>
      <c r="B12" s="217">
        <f>SUM('Asset Entry'!$B$8:$B$11)</f>
        <v>0</v>
      </c>
      <c r="C12" s="16"/>
      <c r="D12" s="212" t="str">
        <f>CONCATENATE("Sub-Total ",D7)</f>
        <v>Sub-Total Equipment</v>
      </c>
      <c r="E12" s="214">
        <f>SUM('Asset Entry'!$E$8:$E$11)</f>
        <v>0</v>
      </c>
      <c r="F12" s="16"/>
      <c r="G12" s="212" t="str">
        <f>CONCATENATE("Sub-Total ",G7)</f>
        <v>Sub-Total Cash in Personal Accounts</v>
      </c>
      <c r="H12" s="213">
        <f>SUM('Asset Entry'!$H$8:$H$11)</f>
        <v>0</v>
      </c>
      <c r="I12" s="20"/>
    </row>
    <row r="13" spans="1:9" s="17" customFormat="1" ht="15" customHeight="1" x14ac:dyDescent="0.2">
      <c r="A13" s="69"/>
      <c r="B13" s="40"/>
      <c r="C13" s="16"/>
      <c r="D13" s="76"/>
      <c r="E13" s="72"/>
      <c r="F13" s="16"/>
      <c r="G13" s="35"/>
      <c r="H13" s="73"/>
      <c r="I13" s="20"/>
    </row>
    <row r="14" spans="1:9" s="17" customFormat="1" ht="15" customHeight="1" thickBot="1" x14ac:dyDescent="0.25">
      <c r="A14" s="441" t="s">
        <v>1</v>
      </c>
      <c r="B14" s="442" t="s">
        <v>74</v>
      </c>
      <c r="C14" s="16"/>
      <c r="D14" s="444" t="s">
        <v>763</v>
      </c>
      <c r="E14" s="445" t="s">
        <v>74</v>
      </c>
      <c r="F14" s="16"/>
      <c r="G14" s="441" t="s">
        <v>35</v>
      </c>
      <c r="H14" s="442" t="s">
        <v>74</v>
      </c>
      <c r="I14" s="20"/>
    </row>
    <row r="15" spans="1:9" s="17" customFormat="1" ht="15" customHeight="1" thickTop="1" x14ac:dyDescent="0.2">
      <c r="A15" s="280"/>
      <c r="B15" s="286"/>
      <c r="C15" s="16"/>
      <c r="D15" s="289"/>
      <c r="E15" s="290"/>
      <c r="F15" s="16"/>
      <c r="G15" s="280"/>
      <c r="H15" s="286"/>
      <c r="I15" s="20"/>
    </row>
    <row r="16" spans="1:9" s="17" customFormat="1" ht="15" customHeight="1" x14ac:dyDescent="0.2">
      <c r="A16" s="282"/>
      <c r="B16" s="283"/>
      <c r="C16" s="16"/>
      <c r="D16" s="291"/>
      <c r="E16" s="292"/>
      <c r="F16" s="16"/>
      <c r="G16" s="282"/>
      <c r="H16" s="287"/>
      <c r="I16" s="20"/>
    </row>
    <row r="17" spans="1:9" ht="15" customHeight="1" x14ac:dyDescent="0.2">
      <c r="A17" s="284"/>
      <c r="B17" s="285"/>
      <c r="C17" s="19"/>
      <c r="D17" s="293"/>
      <c r="E17" s="294"/>
      <c r="F17" s="19"/>
      <c r="G17" s="284"/>
      <c r="H17" s="288"/>
      <c r="I17" s="26"/>
    </row>
    <row r="18" spans="1:9" ht="15" customHeight="1" x14ac:dyDescent="0.2">
      <c r="A18" s="282"/>
      <c r="B18" s="283"/>
      <c r="C18" s="19"/>
      <c r="D18" s="291"/>
      <c r="E18" s="292"/>
      <c r="F18" s="19"/>
      <c r="G18" s="282"/>
      <c r="H18" s="287"/>
      <c r="I18" s="26"/>
    </row>
    <row r="19" spans="1:9" ht="15" customHeight="1" x14ac:dyDescent="0.2">
      <c r="A19" s="212" t="str">
        <f>CONCATENATE("Sub-Total ",A14)</f>
        <v>Sub-Total Due from Processors</v>
      </c>
      <c r="B19" s="213">
        <f>SUM('Asset Entry'!$B$15:$B$18)</f>
        <v>0</v>
      </c>
      <c r="C19" s="19"/>
      <c r="D19" s="212" t="str">
        <f>CONCATENATE("Sub-Total ",D14)</f>
        <v>Sub-Total Raised Breeding Livestock</v>
      </c>
      <c r="E19" s="218">
        <f>SUM('Asset Entry'!$E$15:$E$18)</f>
        <v>0</v>
      </c>
      <c r="F19" s="19"/>
      <c r="G19" s="212" t="str">
        <f>CONCATENATE("Sub-Total ",G14)</f>
        <v>Sub-Total Stocks &amp; Bonds</v>
      </c>
      <c r="H19" s="219">
        <f>SUM('Asset Entry'!$H$15:$H$18)</f>
        <v>0</v>
      </c>
      <c r="I19" s="26"/>
    </row>
    <row r="20" spans="1:9" ht="15" customHeight="1" x14ac:dyDescent="0.2">
      <c r="A20" s="69"/>
      <c r="B20" s="40"/>
      <c r="C20" s="19"/>
      <c r="D20" s="77"/>
      <c r="E20" s="78"/>
      <c r="F20" s="19"/>
      <c r="G20" s="69"/>
      <c r="H20" s="40"/>
      <c r="I20" s="26"/>
    </row>
    <row r="21" spans="1:9" s="17" customFormat="1" ht="15" customHeight="1" thickBot="1" x14ac:dyDescent="0.25">
      <c r="A21" s="441" t="s">
        <v>110</v>
      </c>
      <c r="B21" s="442" t="s">
        <v>74</v>
      </c>
      <c r="C21" s="16"/>
      <c r="D21" s="444" t="s">
        <v>764</v>
      </c>
      <c r="E21" s="445" t="s">
        <v>74</v>
      </c>
      <c r="F21" s="16"/>
      <c r="G21" s="441" t="s">
        <v>166</v>
      </c>
      <c r="H21" s="442" t="s">
        <v>74</v>
      </c>
      <c r="I21" s="20"/>
    </row>
    <row r="22" spans="1:9" s="17" customFormat="1" ht="15" customHeight="1" thickTop="1" x14ac:dyDescent="0.2">
      <c r="A22" s="280"/>
      <c r="B22" s="286"/>
      <c r="C22" s="16"/>
      <c r="D22" s="289"/>
      <c r="E22" s="290"/>
      <c r="F22" s="16"/>
      <c r="G22" s="280"/>
      <c r="H22" s="286"/>
      <c r="I22" s="20"/>
    </row>
    <row r="23" spans="1:9" ht="15" customHeight="1" x14ac:dyDescent="0.2">
      <c r="A23" s="282"/>
      <c r="B23" s="287"/>
      <c r="C23" s="19"/>
      <c r="D23" s="291"/>
      <c r="E23" s="292"/>
      <c r="F23" s="19"/>
      <c r="G23" s="282"/>
      <c r="H23" s="287"/>
      <c r="I23" s="26"/>
    </row>
    <row r="24" spans="1:9" s="17" customFormat="1" ht="15" customHeight="1" x14ac:dyDescent="0.2">
      <c r="A24" s="284"/>
      <c r="B24" s="288"/>
      <c r="C24" s="16"/>
      <c r="D24" s="293"/>
      <c r="E24" s="294"/>
      <c r="F24" s="16"/>
      <c r="G24" s="284"/>
      <c r="H24" s="288"/>
      <c r="I24" s="20"/>
    </row>
    <row r="25" spans="1:9" s="17" customFormat="1" ht="15" customHeight="1" x14ac:dyDescent="0.2">
      <c r="A25" s="282"/>
      <c r="B25" s="287"/>
      <c r="C25" s="16"/>
      <c r="D25" s="291"/>
      <c r="E25" s="292"/>
      <c r="F25" s="16"/>
      <c r="G25" s="282"/>
      <c r="H25" s="287"/>
      <c r="I25" s="20"/>
    </row>
    <row r="26" spans="1:9" s="17" customFormat="1" ht="15" customHeight="1" x14ac:dyDescent="0.2">
      <c r="A26" s="212" t="str">
        <f>CONCATENATE("Sub-Total ",A21)</f>
        <v>Sub-Total Other Business Accounts Receivables</v>
      </c>
      <c r="B26" s="213">
        <f>SUM('Asset Entry'!$B$22:$B$25)</f>
        <v>0</v>
      </c>
      <c r="C26" s="16"/>
      <c r="D26" s="212" t="str">
        <f>CONCATENATE("Sub-Total ",D21)</f>
        <v>Sub-Total Purchased Breeding Livestock</v>
      </c>
      <c r="E26" s="218">
        <f>SUM('Asset Entry'!$E$22:$E$25)</f>
        <v>0</v>
      </c>
      <c r="F26" s="16"/>
      <c r="G26" s="212" t="str">
        <f>CONCATENATE("Sub-Total ",G21)</f>
        <v>Sub-Total Loans Receivable (personal loans)</v>
      </c>
      <c r="H26" s="213">
        <f>SUM('Asset Entry'!$H$22:$H$25)</f>
        <v>0</v>
      </c>
      <c r="I26" s="20"/>
    </row>
    <row r="27" spans="1:9" s="17" customFormat="1" ht="15" customHeight="1" x14ac:dyDescent="0.2">
      <c r="A27" s="23"/>
      <c r="B27" s="40"/>
      <c r="C27" s="16"/>
      <c r="D27" s="77"/>
      <c r="E27" s="78"/>
      <c r="F27" s="16"/>
      <c r="G27" s="69"/>
      <c r="H27" s="40"/>
      <c r="I27" s="20"/>
    </row>
    <row r="28" spans="1:9" s="17" customFormat="1" ht="15" customHeight="1" thickBot="1" x14ac:dyDescent="0.25">
      <c r="A28" s="441" t="s">
        <v>29</v>
      </c>
      <c r="B28" s="442" t="s">
        <v>74</v>
      </c>
      <c r="C28" s="16"/>
      <c r="D28" s="443" t="s">
        <v>19</v>
      </c>
      <c r="E28" s="442" t="s">
        <v>74</v>
      </c>
      <c r="F28" s="16"/>
      <c r="G28" s="444" t="s">
        <v>36</v>
      </c>
      <c r="H28" s="445" t="s">
        <v>74</v>
      </c>
      <c r="I28" s="20"/>
    </row>
    <row r="29" spans="1:9" ht="15" customHeight="1" thickTop="1" x14ac:dyDescent="0.2">
      <c r="A29" s="280"/>
      <c r="B29" s="286"/>
      <c r="D29" s="280"/>
      <c r="E29" s="286"/>
      <c r="F29" s="16"/>
      <c r="G29" s="289"/>
      <c r="H29" s="290"/>
      <c r="I29" s="20"/>
    </row>
    <row r="30" spans="1:9" ht="15" customHeight="1" x14ac:dyDescent="0.2">
      <c r="A30" s="282"/>
      <c r="B30" s="287"/>
      <c r="D30" s="282"/>
      <c r="E30" s="295"/>
      <c r="F30" s="16"/>
      <c r="G30" s="291"/>
      <c r="H30" s="292"/>
      <c r="I30" s="20"/>
    </row>
    <row r="31" spans="1:9" s="17" customFormat="1" ht="15" customHeight="1" x14ac:dyDescent="0.2">
      <c r="A31" s="284"/>
      <c r="B31" s="288"/>
      <c r="C31" s="16"/>
      <c r="D31" s="284"/>
      <c r="E31" s="296"/>
      <c r="F31" s="16"/>
      <c r="G31" s="293"/>
      <c r="H31" s="294"/>
    </row>
    <row r="32" spans="1:9" s="17" customFormat="1" ht="15" customHeight="1" x14ac:dyDescent="0.2">
      <c r="A32" s="282"/>
      <c r="B32" s="287"/>
      <c r="C32" s="16"/>
      <c r="D32" s="282"/>
      <c r="E32" s="295"/>
      <c r="F32" s="16"/>
      <c r="G32" s="291"/>
      <c r="H32" s="292"/>
    </row>
    <row r="33" spans="1:8" ht="15" customHeight="1" x14ac:dyDescent="0.2">
      <c r="A33" s="212" t="str">
        <f>CONCATENATE("Sub-Total ",A28)</f>
        <v>Sub-Total Business Loans Receivable</v>
      </c>
      <c r="B33" s="213">
        <f>SUM('Asset Entry'!$B$29:$B$32)</f>
        <v>0</v>
      </c>
      <c r="C33" s="19"/>
      <c r="D33" s="212" t="str">
        <f>CONCATENATE("Sub-Total ",D28)</f>
        <v>Sub-Total Business Vehicles</v>
      </c>
      <c r="E33" s="218">
        <f>SUM('Asset Entry'!$E$29:$E$32)</f>
        <v>0</v>
      </c>
      <c r="F33" s="19"/>
      <c r="G33" s="212" t="str">
        <f>CONCATENATE("Sub-Total ",G28)</f>
        <v>Sub-Total Personal Property</v>
      </c>
      <c r="H33" s="215">
        <f>SUM('Asset Entry'!$H$29:$H$32)</f>
        <v>0</v>
      </c>
    </row>
    <row r="34" spans="1:8" ht="15" customHeight="1" x14ac:dyDescent="0.2">
      <c r="A34" s="69"/>
      <c r="B34" s="40"/>
      <c r="C34" s="19"/>
      <c r="D34" s="36"/>
      <c r="E34" s="45"/>
      <c r="F34" s="19"/>
      <c r="G34" s="17"/>
      <c r="H34" s="17"/>
    </row>
    <row r="35" spans="1:8" s="19" customFormat="1" ht="15" customHeight="1" thickBot="1" x14ac:dyDescent="0.25">
      <c r="A35" s="441" t="s">
        <v>28</v>
      </c>
      <c r="B35" s="442" t="s">
        <v>74</v>
      </c>
      <c r="D35" s="443" t="s">
        <v>241</v>
      </c>
      <c r="E35" s="442" t="s">
        <v>74</v>
      </c>
      <c r="G35" s="444" t="s">
        <v>23</v>
      </c>
      <c r="H35" s="445" t="s">
        <v>74</v>
      </c>
    </row>
    <row r="36" spans="1:8" s="19" customFormat="1" ht="15" customHeight="1" thickTop="1" x14ac:dyDescent="0.2">
      <c r="A36" s="280"/>
      <c r="B36" s="286"/>
      <c r="D36" s="280"/>
      <c r="E36" s="286"/>
      <c r="G36" s="289"/>
      <c r="H36" s="290"/>
    </row>
    <row r="37" spans="1:8" s="26" customFormat="1" ht="15" customHeight="1" x14ac:dyDescent="0.2">
      <c r="A37" s="282"/>
      <c r="B37" s="287"/>
      <c r="C37" s="38"/>
      <c r="D37" s="282"/>
      <c r="E37" s="287"/>
      <c r="F37" s="19"/>
      <c r="G37" s="291"/>
      <c r="H37" s="292"/>
    </row>
    <row r="38" spans="1:8" s="20" customFormat="1" ht="15" customHeight="1" x14ac:dyDescent="0.2">
      <c r="A38" s="284"/>
      <c r="B38" s="288"/>
      <c r="C38" s="25"/>
      <c r="D38" s="284"/>
      <c r="E38" s="288"/>
      <c r="F38" s="16"/>
      <c r="G38" s="293"/>
      <c r="H38" s="294"/>
    </row>
    <row r="39" spans="1:8" s="20" customFormat="1" ht="15" customHeight="1" x14ac:dyDescent="0.2">
      <c r="A39" s="282"/>
      <c r="B39" s="287"/>
      <c r="C39" s="25"/>
      <c r="D39" s="282"/>
      <c r="E39" s="287"/>
      <c r="F39" s="16"/>
      <c r="G39" s="291"/>
      <c r="H39" s="292"/>
    </row>
    <row r="40" spans="1:8" s="20" customFormat="1" ht="15" customHeight="1" x14ac:dyDescent="0.2">
      <c r="A40" s="212" t="str">
        <f>CONCATENATE("Sub-Total ",A35)</f>
        <v>Sub-Total Pre-paid Expenses</v>
      </c>
      <c r="B40" s="213">
        <f>SUM('Asset Entry'!$B$36:$B$39)</f>
        <v>0</v>
      </c>
      <c r="C40" s="25"/>
      <c r="D40" s="212" t="str">
        <f>CONCATENATE("Sub-Total ",D35)</f>
        <v>Sub-Total Land</v>
      </c>
      <c r="E40" s="214">
        <f>SUM('Asset Entry'!$E$36:$E$39)</f>
        <v>0</v>
      </c>
      <c r="F40" s="16"/>
      <c r="G40" s="212" t="str">
        <f>CONCATENATE("Sub-Total ",G35)</f>
        <v>Sub-Total Personal Vehicles</v>
      </c>
      <c r="H40" s="215">
        <f>SUM('Asset Entry'!$H$36:$H$39)</f>
        <v>0</v>
      </c>
    </row>
    <row r="41" spans="1:8" s="20" customFormat="1" ht="15" customHeight="1" x14ac:dyDescent="0.2">
      <c r="A41" s="35"/>
      <c r="B41" s="40"/>
      <c r="C41" s="25"/>
      <c r="D41" s="36"/>
      <c r="E41" s="45"/>
      <c r="F41" s="16"/>
      <c r="G41" s="23"/>
      <c r="H41" s="40"/>
    </row>
    <row r="42" spans="1:8" ht="15" customHeight="1" thickBot="1" x14ac:dyDescent="0.25">
      <c r="A42" s="441" t="s">
        <v>237</v>
      </c>
      <c r="B42" s="442" t="s">
        <v>74</v>
      </c>
      <c r="D42" s="444" t="s">
        <v>240</v>
      </c>
      <c r="E42" s="445" t="s">
        <v>74</v>
      </c>
      <c r="G42" s="441" t="s">
        <v>26</v>
      </c>
      <c r="H42" s="442" t="s">
        <v>74</v>
      </c>
    </row>
    <row r="43" spans="1:8" ht="15" customHeight="1" thickTop="1" x14ac:dyDescent="0.2">
      <c r="A43" s="622" t="s">
        <v>681</v>
      </c>
      <c r="B43" s="286"/>
      <c r="D43" s="289"/>
      <c r="E43" s="290"/>
      <c r="G43" s="280"/>
      <c r="H43" s="286"/>
    </row>
    <row r="44" spans="1:8" ht="15" customHeight="1" x14ac:dyDescent="0.2">
      <c r="A44" s="282"/>
      <c r="B44" s="287"/>
      <c r="D44" s="291"/>
      <c r="E44" s="292"/>
      <c r="G44" s="282"/>
      <c r="H44" s="287"/>
    </row>
    <row r="45" spans="1:8" ht="15" customHeight="1" x14ac:dyDescent="0.2">
      <c r="A45" s="284"/>
      <c r="B45" s="288"/>
      <c r="D45" s="293"/>
      <c r="E45" s="294"/>
      <c r="G45" s="284"/>
      <c r="H45" s="288"/>
    </row>
    <row r="46" spans="1:8" ht="15" customHeight="1" x14ac:dyDescent="0.2">
      <c r="A46" s="282"/>
      <c r="B46" s="287"/>
      <c r="D46" s="291"/>
      <c r="E46" s="292"/>
      <c r="G46" s="282"/>
      <c r="H46" s="287"/>
    </row>
    <row r="47" spans="1:8" ht="15" customHeight="1" x14ac:dyDescent="0.2">
      <c r="A47" s="212" t="str">
        <f>CONCATENATE("Sub-Total ",A42)</f>
        <v>Sub-Total Other Current Assets</v>
      </c>
      <c r="B47" s="213">
        <f>SUM('Asset Entry'!$B$43:$B$46)</f>
        <v>0</v>
      </c>
      <c r="D47" s="212" t="str">
        <f>CONCATENATE("Sub-Total ",D42)</f>
        <v>Sub-Total Buildings &amp; Improvements</v>
      </c>
      <c r="E47" s="216">
        <f>SUM('Asset Entry'!$E$43:$E$46)</f>
        <v>0</v>
      </c>
      <c r="G47" s="212" t="str">
        <f>CONCATENATE("Sub-Total ",G42)</f>
        <v>Sub-Total Cash Value of Life Insurance Policies</v>
      </c>
      <c r="H47" s="213">
        <f>SUM('Asset Entry'!$H$43:$H$46)</f>
        <v>0</v>
      </c>
    </row>
    <row r="48" spans="1:8" ht="15" customHeight="1" x14ac:dyDescent="0.2">
      <c r="A48" s="21"/>
      <c r="B48" s="40"/>
      <c r="D48" s="36"/>
      <c r="E48" s="45"/>
      <c r="G48" s="35"/>
      <c r="H48" s="40"/>
    </row>
    <row r="49" spans="1:8" ht="15" customHeight="1" thickBot="1" x14ac:dyDescent="0.25">
      <c r="A49" s="18"/>
      <c r="B49" s="40"/>
      <c r="D49" s="443" t="s">
        <v>254</v>
      </c>
      <c r="E49" s="442" t="s">
        <v>74</v>
      </c>
      <c r="G49" s="443" t="s">
        <v>22</v>
      </c>
      <c r="H49" s="442" t="s">
        <v>74</v>
      </c>
    </row>
    <row r="50" spans="1:8" ht="15" customHeight="1" thickTop="1" x14ac:dyDescent="0.2">
      <c r="A50" s="20"/>
      <c r="B50" s="20"/>
      <c r="D50" s="280"/>
      <c r="E50" s="286"/>
      <c r="G50" s="280"/>
      <c r="H50" s="286"/>
    </row>
    <row r="51" spans="1:8" ht="15" customHeight="1" x14ac:dyDescent="0.2">
      <c r="A51" s="20"/>
      <c r="B51" s="20"/>
      <c r="D51" s="282"/>
      <c r="E51" s="295"/>
      <c r="G51" s="282"/>
      <c r="H51" s="287"/>
    </row>
    <row r="52" spans="1:8" ht="15" customHeight="1" x14ac:dyDescent="0.2">
      <c r="A52" s="20"/>
      <c r="B52" s="20"/>
      <c r="D52" s="284"/>
      <c r="E52" s="296"/>
      <c r="G52" s="284"/>
      <c r="H52" s="288"/>
    </row>
    <row r="53" spans="1:8" ht="15" customHeight="1" x14ac:dyDescent="0.2">
      <c r="D53" s="282"/>
      <c r="E53" s="295"/>
      <c r="G53" s="282"/>
      <c r="H53" s="287"/>
    </row>
    <row r="54" spans="1:8" ht="15" customHeight="1" x14ac:dyDescent="0.2">
      <c r="B54" s="14"/>
      <c r="D54" s="212" t="str">
        <f>CONCATENATE("Sub-Total ",D49)</f>
        <v>Sub-Total Oth Business Real Estate</v>
      </c>
      <c r="E54" s="214">
        <f>SUM('Asset Entry'!$E$50:$E$53)</f>
        <v>0</v>
      </c>
      <c r="G54" s="212" t="str">
        <f>CONCATENATE("Sub-Total ",G49)</f>
        <v>Sub-Total Personal Real Estate</v>
      </c>
      <c r="H54" s="214">
        <f>SUM('Asset Entry'!$H$50:$H$53)</f>
        <v>0</v>
      </c>
    </row>
    <row r="55" spans="1:8" ht="15" customHeight="1" x14ac:dyDescent="0.2">
      <c r="B55" s="14"/>
      <c r="D55" s="28"/>
      <c r="E55" s="22"/>
      <c r="G55" s="27"/>
      <c r="H55" s="22"/>
    </row>
    <row r="56" spans="1:8" ht="15" customHeight="1" thickBot="1" x14ac:dyDescent="0.25">
      <c r="B56" s="14"/>
      <c r="D56" s="441" t="s">
        <v>263</v>
      </c>
      <c r="E56" s="442" t="s">
        <v>74</v>
      </c>
      <c r="G56" s="443" t="s">
        <v>34</v>
      </c>
      <c r="H56" s="442" t="s">
        <v>74</v>
      </c>
    </row>
    <row r="57" spans="1:8" ht="15" customHeight="1" thickTop="1" x14ac:dyDescent="0.2">
      <c r="B57" s="14"/>
      <c r="D57" s="280"/>
      <c r="E57" s="286"/>
      <c r="G57" s="280"/>
      <c r="H57" s="281"/>
    </row>
    <row r="58" spans="1:8" ht="15" customHeight="1" x14ac:dyDescent="0.2">
      <c r="B58" s="14"/>
      <c r="D58" s="282"/>
      <c r="E58" s="287"/>
      <c r="G58" s="282"/>
      <c r="H58" s="297"/>
    </row>
    <row r="59" spans="1:8" ht="15" customHeight="1" x14ac:dyDescent="0.2">
      <c r="B59" s="14"/>
      <c r="D59" s="284"/>
      <c r="E59" s="288"/>
      <c r="G59" s="284"/>
      <c r="H59" s="298"/>
    </row>
    <row r="60" spans="1:8" ht="15" customHeight="1" x14ac:dyDescent="0.2">
      <c r="B60" s="14"/>
      <c r="D60" s="282"/>
      <c r="E60" s="287"/>
      <c r="G60" s="282"/>
      <c r="H60" s="297"/>
    </row>
    <row r="61" spans="1:8" ht="15" customHeight="1" x14ac:dyDescent="0.2">
      <c r="B61" s="14"/>
      <c r="D61" s="212" t="str">
        <f>CONCATENATE("Sub-Total ",D56)</f>
        <v>Sub-Total Other Non-Current Business Assets</v>
      </c>
      <c r="E61" s="213">
        <f>SUM('Asset Entry'!$E$57:$E$60)</f>
        <v>0</v>
      </c>
      <c r="G61" s="212" t="str">
        <f>CONCATENATE("Sub-Total ",G56)</f>
        <v>Sub-Total Retirement Accounts</v>
      </c>
      <c r="H61" s="214">
        <f>SUM('Asset Entry'!$H$57:$H$60)</f>
        <v>0</v>
      </c>
    </row>
    <row r="62" spans="1:8" ht="15" customHeight="1" x14ac:dyDescent="0.2">
      <c r="B62" s="14"/>
      <c r="D62" s="16"/>
      <c r="E62" s="16"/>
      <c r="G62" s="36"/>
      <c r="H62" s="45"/>
    </row>
    <row r="63" spans="1:8" ht="15" customHeight="1" thickBot="1" x14ac:dyDescent="0.25">
      <c r="B63" s="14"/>
      <c r="G63" s="441" t="s">
        <v>111</v>
      </c>
      <c r="H63" s="442" t="s">
        <v>74</v>
      </c>
    </row>
    <row r="64" spans="1:8" ht="15" customHeight="1" thickTop="1" x14ac:dyDescent="0.2">
      <c r="B64" s="14"/>
      <c r="G64" s="280"/>
      <c r="H64" s="286"/>
    </row>
    <row r="65" spans="2:8" ht="15" customHeight="1" x14ac:dyDescent="0.2">
      <c r="B65" s="14"/>
      <c r="G65" s="282"/>
      <c r="H65" s="287"/>
    </row>
    <row r="66" spans="2:8" ht="15" customHeight="1" x14ac:dyDescent="0.2">
      <c r="B66" s="14"/>
      <c r="G66" s="284"/>
      <c r="H66" s="288"/>
    </row>
    <row r="67" spans="2:8" ht="15" customHeight="1" x14ac:dyDescent="0.2">
      <c r="B67" s="14"/>
      <c r="G67" s="282"/>
      <c r="H67" s="287"/>
    </row>
    <row r="68" spans="2:8" ht="15" customHeight="1" x14ac:dyDescent="0.2">
      <c r="B68" s="14"/>
      <c r="G68" s="212" t="str">
        <f>CONCATENATE("Sub-Total ",G63)</f>
        <v>Sub-Total Other Personal Assets</v>
      </c>
      <c r="H68" s="213">
        <f>SUM('Asset Entry'!$H$64:$H$67)</f>
        <v>0</v>
      </c>
    </row>
    <row r="69" spans="2:8" ht="15" customHeight="1" x14ac:dyDescent="0.2">
      <c r="B69" s="14"/>
      <c r="G69" s="23"/>
      <c r="H69" s="40"/>
    </row>
    <row r="70" spans="2:8" ht="15" customHeight="1" x14ac:dyDescent="0.2">
      <c r="B70" s="14"/>
    </row>
    <row r="71" spans="2:8" ht="15" customHeight="1" x14ac:dyDescent="0.2">
      <c r="B71" s="14"/>
    </row>
    <row r="72" spans="2:8" ht="15" customHeight="1" x14ac:dyDescent="0.2">
      <c r="B72" s="14"/>
    </row>
    <row r="73" spans="2:8" ht="15" customHeight="1" x14ac:dyDescent="0.2">
      <c r="B73" s="14"/>
    </row>
    <row r="74" spans="2:8" ht="15" customHeight="1" x14ac:dyDescent="0.2">
      <c r="B74" s="14"/>
    </row>
    <row r="75" spans="2:8" ht="15" customHeight="1" x14ac:dyDescent="0.2">
      <c r="B75" s="14"/>
    </row>
    <row r="76" spans="2:8" ht="15" customHeight="1" x14ac:dyDescent="0.2">
      <c r="B76" s="14"/>
    </row>
    <row r="77" spans="2:8" ht="15" customHeight="1" x14ac:dyDescent="0.2">
      <c r="B77" s="14"/>
    </row>
    <row r="78" spans="2:8" ht="15" customHeight="1" x14ac:dyDescent="0.2">
      <c r="B78" s="14"/>
    </row>
    <row r="79" spans="2:8" ht="15" customHeight="1" x14ac:dyDescent="0.2">
      <c r="B79" s="14"/>
    </row>
    <row r="80" spans="2:8" ht="15" customHeight="1" x14ac:dyDescent="0.2">
      <c r="B80" s="14"/>
    </row>
    <row r="81" spans="2:2" ht="15" customHeight="1" x14ac:dyDescent="0.2">
      <c r="B81" s="14"/>
    </row>
    <row r="82" spans="2:2" ht="15" customHeight="1" x14ac:dyDescent="0.2">
      <c r="B82" s="14"/>
    </row>
    <row r="83" spans="2:2" ht="15" customHeight="1" x14ac:dyDescent="0.2">
      <c r="B83" s="14"/>
    </row>
    <row r="84" spans="2:2" ht="15" customHeight="1" x14ac:dyDescent="0.2">
      <c r="B84" s="14"/>
    </row>
    <row r="85" spans="2:2" ht="15" customHeight="1" x14ac:dyDescent="0.2">
      <c r="B85" s="14"/>
    </row>
    <row r="86" spans="2:2" ht="15" customHeight="1" x14ac:dyDescent="0.2">
      <c r="B86" s="14"/>
    </row>
    <row r="87" spans="2:2" ht="15" customHeight="1" x14ac:dyDescent="0.2">
      <c r="B87" s="14"/>
    </row>
    <row r="88" spans="2:2" ht="15" customHeight="1" x14ac:dyDescent="0.2">
      <c r="B88" s="14"/>
    </row>
    <row r="89" spans="2:2" ht="15" customHeight="1" x14ac:dyDescent="0.2">
      <c r="B89" s="14"/>
    </row>
    <row r="90" spans="2:2" ht="15" customHeight="1" x14ac:dyDescent="0.2">
      <c r="B90" s="14"/>
    </row>
    <row r="91" spans="2:2" ht="15" customHeight="1" x14ac:dyDescent="0.2">
      <c r="B91" s="14"/>
    </row>
    <row r="92" spans="2:2" ht="15" customHeight="1" x14ac:dyDescent="0.2">
      <c r="B92" s="14"/>
    </row>
    <row r="93" spans="2:2" ht="15" customHeight="1" x14ac:dyDescent="0.2">
      <c r="B93" s="14"/>
    </row>
    <row r="94" spans="2:2" ht="15" customHeight="1" x14ac:dyDescent="0.2">
      <c r="B94" s="14"/>
    </row>
    <row r="95" spans="2:2" ht="15" customHeight="1" x14ac:dyDescent="0.2">
      <c r="B95" s="14"/>
    </row>
    <row r="96" spans="2:2" ht="15" customHeight="1" x14ac:dyDescent="0.2">
      <c r="B96" s="14"/>
    </row>
    <row r="97" spans="2:2" ht="15" customHeight="1" x14ac:dyDescent="0.2">
      <c r="B97" s="14"/>
    </row>
    <row r="98" spans="2:2" ht="15" customHeight="1" x14ac:dyDescent="0.2">
      <c r="B98" s="14"/>
    </row>
    <row r="99" spans="2:2" ht="15" customHeight="1" x14ac:dyDescent="0.2">
      <c r="B99" s="14"/>
    </row>
    <row r="100" spans="2:2" ht="15" customHeight="1" x14ac:dyDescent="0.2">
      <c r="B100" s="14"/>
    </row>
    <row r="101" spans="2:2" ht="15" customHeight="1" x14ac:dyDescent="0.2">
      <c r="B101" s="14"/>
    </row>
    <row r="102" spans="2:2" ht="15" customHeight="1" x14ac:dyDescent="0.2">
      <c r="B102" s="14"/>
    </row>
    <row r="103" spans="2:2" ht="15" customHeight="1" x14ac:dyDescent="0.2">
      <c r="B103" s="14"/>
    </row>
    <row r="104" spans="2:2" ht="15" customHeight="1" x14ac:dyDescent="0.2">
      <c r="B104" s="14"/>
    </row>
    <row r="105" spans="2:2" ht="15" customHeight="1" x14ac:dyDescent="0.2">
      <c r="B105" s="14"/>
    </row>
    <row r="106" spans="2:2" ht="15" customHeight="1" x14ac:dyDescent="0.2">
      <c r="B106" s="14"/>
    </row>
    <row r="107" spans="2:2" ht="15" customHeight="1" x14ac:dyDescent="0.2">
      <c r="B107" s="14"/>
    </row>
    <row r="108" spans="2:2" ht="15" customHeight="1" x14ac:dyDescent="0.2">
      <c r="B108" s="14"/>
    </row>
    <row r="109" spans="2:2" ht="15" customHeight="1" x14ac:dyDescent="0.2">
      <c r="B109" s="14"/>
    </row>
    <row r="110" spans="2:2" ht="15" customHeight="1" x14ac:dyDescent="0.2">
      <c r="B110" s="14"/>
    </row>
    <row r="111" spans="2:2" ht="15" customHeight="1" x14ac:dyDescent="0.2">
      <c r="B111" s="14"/>
    </row>
    <row r="112" spans="2:2" ht="15" customHeight="1" x14ac:dyDescent="0.2">
      <c r="B112" s="14"/>
    </row>
    <row r="113" spans="2:2" ht="15" customHeight="1" x14ac:dyDescent="0.2">
      <c r="B113" s="14"/>
    </row>
    <row r="114" spans="2:2" ht="15" customHeight="1" x14ac:dyDescent="0.2">
      <c r="B114" s="14"/>
    </row>
    <row r="115" spans="2:2" ht="15" customHeight="1" x14ac:dyDescent="0.2">
      <c r="B115" s="14"/>
    </row>
    <row r="116" spans="2:2" ht="15" customHeight="1" x14ac:dyDescent="0.2">
      <c r="B116" s="14"/>
    </row>
    <row r="117" spans="2:2" ht="15" customHeight="1" x14ac:dyDescent="0.2">
      <c r="B117" s="14"/>
    </row>
    <row r="118" spans="2:2" ht="15" customHeight="1" x14ac:dyDescent="0.2">
      <c r="B118" s="14"/>
    </row>
    <row r="119" spans="2:2" ht="15" customHeight="1" x14ac:dyDescent="0.2">
      <c r="B119" s="14"/>
    </row>
    <row r="120" spans="2:2" ht="15" customHeight="1" x14ac:dyDescent="0.2">
      <c r="B120" s="14"/>
    </row>
    <row r="121" spans="2:2" ht="15" customHeight="1" x14ac:dyDescent="0.2">
      <c r="B121" s="14"/>
    </row>
    <row r="122" spans="2:2" ht="15" customHeight="1" x14ac:dyDescent="0.2">
      <c r="B122" s="14"/>
    </row>
    <row r="123" spans="2:2" ht="15" customHeight="1" x14ac:dyDescent="0.2">
      <c r="B123" s="14"/>
    </row>
    <row r="124" spans="2:2" ht="15" customHeight="1" x14ac:dyDescent="0.2">
      <c r="B124" s="14"/>
    </row>
    <row r="125" spans="2:2" ht="15" customHeight="1" x14ac:dyDescent="0.2">
      <c r="B125" s="14"/>
    </row>
    <row r="126" spans="2:2" ht="15" customHeight="1" x14ac:dyDescent="0.2">
      <c r="B126" s="14"/>
    </row>
    <row r="127" spans="2:2" ht="15" customHeight="1" x14ac:dyDescent="0.2">
      <c r="B127" s="14"/>
    </row>
    <row r="128" spans="2:2" ht="15" customHeight="1" x14ac:dyDescent="0.2">
      <c r="B128" s="14"/>
    </row>
    <row r="129" spans="2:2" ht="15" customHeight="1" x14ac:dyDescent="0.2">
      <c r="B129" s="14"/>
    </row>
    <row r="130" spans="2:2" ht="15" customHeight="1" x14ac:dyDescent="0.2">
      <c r="B130" s="14"/>
    </row>
    <row r="131" spans="2:2" ht="15" customHeight="1" x14ac:dyDescent="0.2">
      <c r="B131" s="14"/>
    </row>
    <row r="132" spans="2:2" ht="15" customHeight="1" x14ac:dyDescent="0.2">
      <c r="B132" s="14"/>
    </row>
    <row r="133" spans="2:2" ht="15" customHeight="1" x14ac:dyDescent="0.2">
      <c r="B133" s="14"/>
    </row>
    <row r="134" spans="2:2" ht="15" customHeight="1" x14ac:dyDescent="0.2">
      <c r="B134" s="14"/>
    </row>
  </sheetData>
  <sheetProtection algorithmName="SHA-512" hashValue="e2NCHumG+FJEYSgizeeaHZj6PTnER4T7vk17QfQv/Ztzsc5QQFoi38Ha28rwR2/pVXY91PBYM6aTC4BB87LVlQ==" saltValue="x00muLWXyer+nVGoU3A01A==" spinCount="100000" sheet="1" objects="1" scenarios="1"/>
  <mergeCells count="2">
    <mergeCell ref="A2:B2"/>
    <mergeCell ref="G3:H3"/>
  </mergeCells>
  <phoneticPr fontId="11" type="noConversion"/>
  <pageMargins left="0.75" right="0.75" top="1" bottom="1" header="0.5" footer="0.5"/>
  <pageSetup orientation="portrait" horizontalDpi="4294967293" r:id="rId1"/>
  <headerFooter alignWithMargins="0"/>
  <rowBreaks count="1" manualBreakCount="1">
    <brk id="3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CC052"/>
  </sheetPr>
  <dimension ref="A1:H37"/>
  <sheetViews>
    <sheetView showGridLines="0" workbookViewId="0"/>
  </sheetViews>
  <sheetFormatPr defaultColWidth="10" defaultRowHeight="12.75" x14ac:dyDescent="0.2"/>
  <cols>
    <col min="1" max="1" width="49.7109375" customWidth="1"/>
    <col min="2" max="2" width="8.140625" customWidth="1"/>
    <col min="3" max="3" width="10.42578125" customWidth="1"/>
    <col min="4" max="4" width="16.7109375" bestFit="1" customWidth="1"/>
    <col min="5" max="5" width="14.7109375" customWidth="1"/>
    <col min="6" max="6" width="49.7109375" customWidth="1"/>
    <col min="7" max="7" width="16.7109375" customWidth="1"/>
    <col min="8" max="8" width="3.7109375" customWidth="1"/>
    <col min="9" max="9" width="49.7109375" customWidth="1"/>
    <col min="10" max="10" width="16.7109375" customWidth="1"/>
    <col min="11" max="11" width="12" customWidth="1"/>
  </cols>
  <sheetData>
    <row r="1" spans="1:8" s="14" customFormat="1" ht="20.25" customHeight="1" x14ac:dyDescent="0.3">
      <c r="A1" s="4" t="s">
        <v>255</v>
      </c>
      <c r="B1" s="4"/>
      <c r="C1" s="4"/>
      <c r="D1" s="22"/>
      <c r="E1" s="15"/>
      <c r="F1" s="15"/>
      <c r="G1" s="15"/>
      <c r="H1" s="15"/>
    </row>
    <row r="2" spans="1:8" s="14" customFormat="1" ht="15" customHeight="1" x14ac:dyDescent="0.2">
      <c r="A2" s="1263" t="str">
        <f>IF(Name&gt;"",Name,IF(BusName&gt;"",BusName,""))</f>
        <v/>
      </c>
      <c r="B2" s="1263"/>
      <c r="C2" s="1263"/>
      <c r="D2" s="1263"/>
      <c r="E2" s="15"/>
      <c r="F2" s="15"/>
      <c r="G2" s="15"/>
      <c r="H2" s="15"/>
    </row>
    <row r="3" spans="1:8" s="14" customFormat="1" ht="15" customHeight="1" x14ac:dyDescent="0.2">
      <c r="A3" s="80" t="s">
        <v>86</v>
      </c>
      <c r="B3" s="80"/>
      <c r="C3" s="80"/>
      <c r="D3" s="1265" t="str">
        <f>CONCATENATE("Balances as of ",TEXT(GenInfoBSDate,"mm/dd/yyyy"))</f>
        <v>Balances as of 01/00/1900</v>
      </c>
      <c r="E3" s="1265"/>
      <c r="F3" s="19"/>
      <c r="G3" s="19"/>
      <c r="H3" s="19"/>
    </row>
    <row r="4" spans="1:8" s="14" customFormat="1" ht="15" customHeight="1" x14ac:dyDescent="0.2">
      <c r="E4" s="38"/>
      <c r="F4" s="38"/>
      <c r="G4" s="38"/>
      <c r="H4" s="19"/>
    </row>
    <row r="5" spans="1:8" s="14" customFormat="1" ht="15" customHeight="1" x14ac:dyDescent="0.2">
      <c r="A5" s="1"/>
      <c r="B5" s="1"/>
      <c r="C5" s="1"/>
      <c r="D5" s="72"/>
      <c r="E5" s="38"/>
    </row>
    <row r="6" spans="1:8" s="14" customFormat="1" ht="15" customHeight="1" x14ac:dyDescent="0.2">
      <c r="A6" s="1"/>
      <c r="B6" s="1"/>
      <c r="C6" s="1"/>
      <c r="D6" s="40"/>
      <c r="E6" s="38"/>
    </row>
    <row r="7" spans="1:8" s="14" customFormat="1" ht="15" customHeight="1" x14ac:dyDescent="0.2">
      <c r="A7" s="441" t="s">
        <v>256</v>
      </c>
      <c r="B7" s="442" t="s">
        <v>257</v>
      </c>
      <c r="C7" s="442" t="s">
        <v>744</v>
      </c>
      <c r="D7" s="442" t="s">
        <v>509</v>
      </c>
      <c r="E7" s="442" t="s">
        <v>74</v>
      </c>
      <c r="F7" s="38"/>
      <c r="G7" s="39"/>
    </row>
    <row r="8" spans="1:8" s="17" customFormat="1" ht="15" customHeight="1" x14ac:dyDescent="0.2">
      <c r="A8" s="667"/>
      <c r="B8" s="669"/>
      <c r="C8" s="282"/>
      <c r="D8" s="560"/>
      <c r="E8" s="548">
        <f t="shared" ref="E8:E14" si="0">B8*D8</f>
        <v>0</v>
      </c>
      <c r="F8" s="16"/>
      <c r="G8" s="20"/>
    </row>
    <row r="9" spans="1:8" s="17" customFormat="1" ht="15" customHeight="1" x14ac:dyDescent="0.2">
      <c r="A9" s="667"/>
      <c r="B9" s="669"/>
      <c r="C9" s="282"/>
      <c r="D9" s="560"/>
      <c r="E9" s="548">
        <f t="shared" si="0"/>
        <v>0</v>
      </c>
      <c r="F9" s="16"/>
      <c r="G9" s="20"/>
    </row>
    <row r="10" spans="1:8" s="17" customFormat="1" ht="15" customHeight="1" x14ac:dyDescent="0.2">
      <c r="A10" s="667"/>
      <c r="B10" s="669"/>
      <c r="C10" s="282"/>
      <c r="D10" s="560"/>
      <c r="E10" s="548">
        <f t="shared" si="0"/>
        <v>0</v>
      </c>
      <c r="F10" s="16"/>
      <c r="G10" s="20"/>
    </row>
    <row r="11" spans="1:8" s="17" customFormat="1" ht="15" customHeight="1" x14ac:dyDescent="0.2">
      <c r="A11" s="667"/>
      <c r="B11" s="669"/>
      <c r="C11" s="282"/>
      <c r="D11" s="560"/>
      <c r="E11" s="548">
        <f t="shared" si="0"/>
        <v>0</v>
      </c>
      <c r="F11" s="16"/>
      <c r="G11" s="20"/>
    </row>
    <row r="12" spans="1:8" s="17" customFormat="1" ht="15" customHeight="1" x14ac:dyDescent="0.2">
      <c r="A12" s="667"/>
      <c r="B12" s="669"/>
      <c r="C12" s="282"/>
      <c r="D12" s="560"/>
      <c r="E12" s="548">
        <f t="shared" si="0"/>
        <v>0</v>
      </c>
      <c r="F12" s="16"/>
      <c r="G12" s="20"/>
    </row>
    <row r="13" spans="1:8" s="17" customFormat="1" ht="15" customHeight="1" x14ac:dyDescent="0.2">
      <c r="A13" s="668"/>
      <c r="B13" s="670"/>
      <c r="C13" s="284"/>
      <c r="D13" s="561"/>
      <c r="E13" s="549">
        <f t="shared" si="0"/>
        <v>0</v>
      </c>
      <c r="F13" s="16"/>
      <c r="G13" s="20"/>
    </row>
    <row r="14" spans="1:8" s="17" customFormat="1" ht="15" customHeight="1" x14ac:dyDescent="0.2">
      <c r="A14" s="667"/>
      <c r="B14" s="669"/>
      <c r="C14" s="282"/>
      <c r="D14" s="560"/>
      <c r="E14" s="548">
        <f t="shared" si="0"/>
        <v>0</v>
      </c>
      <c r="F14" s="16"/>
      <c r="G14" s="20"/>
    </row>
    <row r="15" spans="1:8" s="17" customFormat="1" ht="15" customHeight="1" x14ac:dyDescent="0.2">
      <c r="A15" s="212" t="str">
        <f>CONCATENATE("Sub-Total ",A7)</f>
        <v>Sub-Total Crop Inventory</v>
      </c>
      <c r="B15" s="212"/>
      <c r="C15" s="212"/>
      <c r="D15" s="212"/>
      <c r="E15" s="1043">
        <f>SUM(E8:E14)</f>
        <v>0</v>
      </c>
      <c r="F15" s="16"/>
      <c r="G15" s="20"/>
    </row>
    <row r="18" spans="1:5" ht="15" customHeight="1" x14ac:dyDescent="0.2">
      <c r="A18" s="441" t="s">
        <v>258</v>
      </c>
      <c r="B18" s="442" t="s">
        <v>257</v>
      </c>
      <c r="C18" s="442" t="s">
        <v>743</v>
      </c>
      <c r="D18" s="442" t="s">
        <v>260</v>
      </c>
      <c r="E18" s="442" t="s">
        <v>74</v>
      </c>
    </row>
    <row r="19" spans="1:5" x14ac:dyDescent="0.2">
      <c r="A19" s="667"/>
      <c r="B19" s="667"/>
      <c r="C19" s="667"/>
      <c r="D19" s="671"/>
      <c r="E19" s="548">
        <f>(B19*C19)*(D19/100)</f>
        <v>0</v>
      </c>
    </row>
    <row r="20" spans="1:5" x14ac:dyDescent="0.2">
      <c r="A20" s="667"/>
      <c r="B20" s="667"/>
      <c r="C20" s="667"/>
      <c r="D20" s="284"/>
      <c r="E20" s="548">
        <f t="shared" ref="E20:E25" si="1">(B20*C20)*(D20/100)</f>
        <v>0</v>
      </c>
    </row>
    <row r="21" spans="1:5" x14ac:dyDescent="0.2">
      <c r="A21" s="667"/>
      <c r="B21" s="667"/>
      <c r="C21" s="667"/>
      <c r="D21" s="284"/>
      <c r="E21" s="548">
        <f t="shared" si="1"/>
        <v>0</v>
      </c>
    </row>
    <row r="22" spans="1:5" x14ac:dyDescent="0.2">
      <c r="A22" s="667"/>
      <c r="B22" s="667"/>
      <c r="C22" s="667"/>
      <c r="D22" s="284"/>
      <c r="E22" s="548">
        <f t="shared" si="1"/>
        <v>0</v>
      </c>
    </row>
    <row r="23" spans="1:5" x14ac:dyDescent="0.2">
      <c r="A23" s="667"/>
      <c r="B23" s="667"/>
      <c r="C23" s="667"/>
      <c r="D23" s="284"/>
      <c r="E23" s="548">
        <f t="shared" si="1"/>
        <v>0</v>
      </c>
    </row>
    <row r="24" spans="1:5" x14ac:dyDescent="0.2">
      <c r="A24" s="668"/>
      <c r="B24" s="668"/>
      <c r="C24" s="668"/>
      <c r="D24" s="284"/>
      <c r="E24" s="549">
        <f t="shared" si="1"/>
        <v>0</v>
      </c>
    </row>
    <row r="25" spans="1:5" x14ac:dyDescent="0.2">
      <c r="A25" s="667"/>
      <c r="B25" s="667"/>
      <c r="C25" s="667"/>
      <c r="D25" s="282"/>
      <c r="E25" s="548">
        <f t="shared" si="1"/>
        <v>0</v>
      </c>
    </row>
    <row r="26" spans="1:5" x14ac:dyDescent="0.2">
      <c r="A26" s="212" t="str">
        <f>CONCATENATE("Sub-Total ",A18)</f>
        <v>Sub-Total Livestock Held for Sale</v>
      </c>
      <c r="B26" s="212"/>
      <c r="C26" s="212"/>
      <c r="D26" s="212"/>
      <c r="E26" s="1043">
        <f>SUM(E19:E25)</f>
        <v>0</v>
      </c>
    </row>
    <row r="29" spans="1:5" ht="15" customHeight="1" x14ac:dyDescent="0.2">
      <c r="A29" s="441" t="s">
        <v>489</v>
      </c>
      <c r="B29" s="442" t="s">
        <v>257</v>
      </c>
      <c r="C29" s="442" t="s">
        <v>509</v>
      </c>
      <c r="D29" s="442" t="s">
        <v>74</v>
      </c>
    </row>
    <row r="30" spans="1:5" x14ac:dyDescent="0.2">
      <c r="A30" s="667"/>
      <c r="B30" s="669"/>
      <c r="C30" s="282"/>
      <c r="D30" s="548">
        <f>B30*C30</f>
        <v>0</v>
      </c>
    </row>
    <row r="31" spans="1:5" x14ac:dyDescent="0.2">
      <c r="A31" s="667"/>
      <c r="B31" s="669"/>
      <c r="C31" s="282"/>
      <c r="D31" s="548">
        <f t="shared" ref="D31:D36" si="2">B31*C31</f>
        <v>0</v>
      </c>
    </row>
    <row r="32" spans="1:5" x14ac:dyDescent="0.2">
      <c r="A32" s="667"/>
      <c r="B32" s="669"/>
      <c r="C32" s="282"/>
      <c r="D32" s="548">
        <f t="shared" si="2"/>
        <v>0</v>
      </c>
    </row>
    <row r="33" spans="1:4" x14ac:dyDescent="0.2">
      <c r="A33" s="667"/>
      <c r="B33" s="669"/>
      <c r="C33" s="282"/>
      <c r="D33" s="548">
        <f t="shared" si="2"/>
        <v>0</v>
      </c>
    </row>
    <row r="34" spans="1:4" x14ac:dyDescent="0.2">
      <c r="A34" s="667"/>
      <c r="B34" s="669"/>
      <c r="C34" s="282"/>
      <c r="D34" s="548">
        <f t="shared" si="2"/>
        <v>0</v>
      </c>
    </row>
    <row r="35" spans="1:4" x14ac:dyDescent="0.2">
      <c r="A35" s="668"/>
      <c r="B35" s="670"/>
      <c r="C35" s="284"/>
      <c r="D35" s="549">
        <f t="shared" si="2"/>
        <v>0</v>
      </c>
    </row>
    <row r="36" spans="1:4" x14ac:dyDescent="0.2">
      <c r="A36" s="667"/>
      <c r="B36" s="669"/>
      <c r="C36" s="282"/>
      <c r="D36" s="548">
        <f t="shared" si="2"/>
        <v>0</v>
      </c>
    </row>
    <row r="37" spans="1:4" x14ac:dyDescent="0.2">
      <c r="A37" s="212" t="str">
        <f>CONCATENATE("Sub-Total ",LEFT(A29,15))</f>
        <v>Sub-Total Other Inventory</v>
      </c>
      <c r="B37" s="212"/>
      <c r="C37" s="212"/>
      <c r="D37" s="1043">
        <f>SUM(D30:D36)</f>
        <v>0</v>
      </c>
    </row>
  </sheetData>
  <sheetProtection algorithmName="SHA-512" hashValue="MMWPVvtROS3KEws5wXgKvjMI/GAi1JwcM7+GWe7n6lSMP/RlXyZP5HRQN/ZbkWjjOgdxThwHjmxs/x/aWkx69A==" saltValue="FAuCw9QOtzZQQsvsisFCWg==" spinCount="100000" sheet="1" objects="1" scenarios="1"/>
  <mergeCells count="2">
    <mergeCell ref="A2:D2"/>
    <mergeCell ref="D3:E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8CC052"/>
  </sheetPr>
  <dimension ref="A1:K149"/>
  <sheetViews>
    <sheetView showGridLines="0" workbookViewId="0"/>
  </sheetViews>
  <sheetFormatPr defaultColWidth="8.85546875" defaultRowHeight="15" customHeight="1" x14ac:dyDescent="0.2"/>
  <cols>
    <col min="1" max="1" width="49.7109375" style="68" customWidth="1"/>
    <col min="2" max="2" width="16.7109375" style="87" customWidth="1"/>
    <col min="3" max="3" width="8.85546875" style="68"/>
    <col min="4" max="4" width="49.7109375" style="68" customWidth="1"/>
    <col min="5" max="5" width="16.7109375" style="68" customWidth="1"/>
    <col min="6" max="7" width="8.85546875" style="68"/>
    <col min="8" max="8" width="10" style="68" bestFit="1" customWidth="1"/>
    <col min="9" max="9" width="12.42578125" style="68" customWidth="1"/>
    <col min="10" max="10" width="14.85546875" style="68" bestFit="1" customWidth="1"/>
    <col min="11" max="11" width="13.28515625" style="68" customWidth="1"/>
    <col min="12" max="16384" width="8.85546875" style="68"/>
  </cols>
  <sheetData>
    <row r="1" spans="1:11" s="41" customFormat="1" ht="27" customHeight="1" x14ac:dyDescent="0.3">
      <c r="A1" s="81" t="s">
        <v>159</v>
      </c>
      <c r="B1" s="82"/>
      <c r="E1" s="37"/>
    </row>
    <row r="2" spans="1:11" s="29" customFormat="1" ht="15" customHeight="1" x14ac:dyDescent="0.2">
      <c r="A2" s="1266" t="str">
        <f>IF(Name&gt;"",Name,IF(BusName&gt;"",BusName,""))</f>
        <v/>
      </c>
      <c r="B2" s="1266"/>
    </row>
    <row r="3" spans="1:11" s="29" customFormat="1" ht="15" customHeight="1" x14ac:dyDescent="0.2">
      <c r="A3" s="80" t="s">
        <v>86</v>
      </c>
      <c r="B3" s="79">
        <f ca="1">GenDate</f>
        <v>44307</v>
      </c>
      <c r="C3" s="83"/>
      <c r="D3" s="852" t="s">
        <v>516</v>
      </c>
      <c r="E3" s="853">
        <f>GenInfoBSDate</f>
        <v>0</v>
      </c>
    </row>
    <row r="4" spans="1:11" s="29" customFormat="1" ht="11.25" customHeight="1" x14ac:dyDescent="0.2">
      <c r="A4" s="31"/>
      <c r="B4" s="84"/>
      <c r="C4" s="83"/>
    </row>
    <row r="5" spans="1:11" s="29" customFormat="1" ht="15" customHeight="1" x14ac:dyDescent="0.2">
      <c r="A5" s="75" t="s">
        <v>243</v>
      </c>
      <c r="C5" s="83"/>
      <c r="D5" s="75" t="s">
        <v>37</v>
      </c>
      <c r="F5" s="39"/>
    </row>
    <row r="6" spans="1:11" s="29" customFormat="1" ht="15" customHeight="1" x14ac:dyDescent="0.2">
      <c r="A6" s="75"/>
      <c r="C6" s="83"/>
      <c r="D6" s="70"/>
      <c r="E6" s="74"/>
      <c r="F6" s="39"/>
    </row>
    <row r="7" spans="1:11" s="14" customFormat="1" ht="15" customHeight="1" thickBot="1" x14ac:dyDescent="0.25">
      <c r="A7" s="441" t="s">
        <v>167</v>
      </c>
      <c r="B7" s="446" t="s">
        <v>76</v>
      </c>
      <c r="C7" s="32"/>
      <c r="D7" s="441" t="s">
        <v>89</v>
      </c>
      <c r="E7" s="446" t="s">
        <v>76</v>
      </c>
      <c r="F7" s="32"/>
    </row>
    <row r="8" spans="1:11" s="17" customFormat="1" ht="15" customHeight="1" thickTop="1" x14ac:dyDescent="0.2">
      <c r="A8" s="280"/>
      <c r="B8" s="299"/>
      <c r="C8" s="34"/>
      <c r="D8" s="606" t="s">
        <v>425</v>
      </c>
      <c r="E8" s="607">
        <f>LoanAccrIntPers</f>
        <v>0</v>
      </c>
      <c r="F8" s="34"/>
    </row>
    <row r="9" spans="1:11" s="17" customFormat="1" ht="15" customHeight="1" x14ac:dyDescent="0.2">
      <c r="A9" s="282"/>
      <c r="B9" s="300"/>
      <c r="C9" s="33"/>
      <c r="D9" s="282"/>
      <c r="E9" s="300"/>
      <c r="F9" s="33"/>
      <c r="G9" s="20"/>
    </row>
    <row r="10" spans="1:11" s="14" customFormat="1" ht="15" customHeight="1" x14ac:dyDescent="0.2">
      <c r="A10" s="284"/>
      <c r="B10" s="301"/>
      <c r="C10" s="32"/>
      <c r="D10" s="284"/>
      <c r="E10" s="301"/>
      <c r="F10" s="32"/>
      <c r="G10" s="26"/>
      <c r="H10" s="26"/>
      <c r="I10" s="26"/>
    </row>
    <row r="11" spans="1:11" s="14" customFormat="1" ht="15" customHeight="1" x14ac:dyDescent="0.2">
      <c r="A11" s="282"/>
      <c r="B11" s="300"/>
      <c r="C11" s="32"/>
      <c r="D11" s="282"/>
      <c r="E11" s="300"/>
      <c r="F11" s="32"/>
      <c r="G11" s="26"/>
      <c r="H11" s="26"/>
      <c r="I11" s="26"/>
    </row>
    <row r="12" spans="1:11" s="14" customFormat="1" ht="15" customHeight="1" x14ac:dyDescent="0.2">
      <c r="A12" s="212" t="str">
        <f>CONCATENATE("Sub-Total ",A7)</f>
        <v>Sub-Total Accounts Payable (processor,suppliers, etc.)</v>
      </c>
      <c r="B12" s="213">
        <f>SUM('Liability Entry'!$B$8:$B$11)</f>
        <v>0</v>
      </c>
      <c r="C12" s="32"/>
      <c r="D12" s="212" t="str">
        <f>CONCATENATE("Sub-Total ",D7)</f>
        <v>Sub-Total Personal Accounts Payable</v>
      </c>
      <c r="E12" s="213">
        <f>SUM('Liability Entry'!$E$8:$E$11)</f>
        <v>0</v>
      </c>
      <c r="F12" s="32"/>
      <c r="G12" s="26"/>
      <c r="H12" s="26"/>
      <c r="I12" s="26"/>
    </row>
    <row r="13" spans="1:11" s="14" customFormat="1" ht="15" customHeight="1" x14ac:dyDescent="0.2">
      <c r="A13" s="70"/>
      <c r="B13" s="74"/>
      <c r="C13" s="32"/>
      <c r="D13" s="35"/>
      <c r="E13" s="73"/>
      <c r="F13" s="32"/>
      <c r="G13" s="26"/>
      <c r="H13" s="26"/>
      <c r="I13" s="26"/>
    </row>
    <row r="14" spans="1:11" s="14" customFormat="1" ht="15" customHeight="1" thickBot="1" x14ac:dyDescent="0.25">
      <c r="A14" s="441" t="s">
        <v>20</v>
      </c>
      <c r="B14" s="446" t="s">
        <v>76</v>
      </c>
      <c r="C14" s="32"/>
      <c r="D14" s="441" t="s">
        <v>24</v>
      </c>
      <c r="E14" s="446" t="s">
        <v>76</v>
      </c>
      <c r="F14" s="32"/>
      <c r="G14" s="26"/>
      <c r="H14" s="26"/>
      <c r="I14" s="26"/>
    </row>
    <row r="15" spans="1:11" s="14" customFormat="1" ht="15" customHeight="1" thickTop="1" x14ac:dyDescent="0.2">
      <c r="A15" s="280"/>
      <c r="B15" s="281"/>
      <c r="C15" s="32"/>
      <c r="D15" s="280"/>
      <c r="E15" s="281"/>
      <c r="F15" s="32"/>
      <c r="G15" s="26"/>
      <c r="H15" s="20"/>
      <c r="I15" s="20"/>
      <c r="J15" s="17"/>
      <c r="K15" s="17"/>
    </row>
    <row r="16" spans="1:11" s="17" customFormat="1" ht="15" customHeight="1" x14ac:dyDescent="0.2">
      <c r="A16" s="282"/>
      <c r="B16" s="283"/>
      <c r="C16" s="33"/>
      <c r="D16" s="282"/>
      <c r="E16" s="283"/>
      <c r="F16" s="33"/>
      <c r="G16" s="20"/>
      <c r="H16" s="20"/>
      <c r="I16" s="20"/>
    </row>
    <row r="17" spans="1:11" s="17" customFormat="1" ht="15" customHeight="1" x14ac:dyDescent="0.2">
      <c r="A17" s="284"/>
      <c r="B17" s="285"/>
      <c r="C17" s="33"/>
      <c r="D17" s="284"/>
      <c r="E17" s="285"/>
      <c r="F17" s="33"/>
      <c r="G17" s="20"/>
      <c r="H17" s="20"/>
      <c r="I17" s="20"/>
    </row>
    <row r="18" spans="1:11" s="17" customFormat="1" ht="15" customHeight="1" x14ac:dyDescent="0.2">
      <c r="A18" s="282"/>
      <c r="B18" s="283"/>
      <c r="C18" s="33"/>
      <c r="D18" s="282"/>
      <c r="E18" s="283"/>
      <c r="F18" s="33"/>
      <c r="G18" s="20"/>
      <c r="H18" s="20"/>
      <c r="I18" s="20"/>
    </row>
    <row r="19" spans="1:11" s="17" customFormat="1" ht="15" customHeight="1" x14ac:dyDescent="0.2">
      <c r="A19" s="212" t="str">
        <f>CONCATENATE("Sub-Total ",A14)</f>
        <v>Sub-Total Business Credit Card Debt</v>
      </c>
      <c r="B19" s="213">
        <f>SUM('Liability Entry'!$B$15:$B$18)</f>
        <v>0</v>
      </c>
      <c r="C19" s="33"/>
      <c r="D19" s="212" t="str">
        <f>CONCATENATE("Sub-Total ",D14)</f>
        <v>Sub-Total Personal Credit Card Debt</v>
      </c>
      <c r="E19" s="213">
        <f>SUM('Liability Entry'!$E$15:$E$18)</f>
        <v>0</v>
      </c>
      <c r="F19" s="33"/>
      <c r="G19" s="20"/>
      <c r="H19" s="26"/>
      <c r="I19" s="26"/>
      <c r="J19" s="14"/>
      <c r="K19" s="14"/>
    </row>
    <row r="20" spans="1:11" s="14" customFormat="1" ht="15" customHeight="1" x14ac:dyDescent="0.2">
      <c r="A20" s="70"/>
      <c r="B20" s="74"/>
      <c r="C20" s="32"/>
      <c r="D20" s="21"/>
      <c r="E20" s="42"/>
      <c r="F20" s="32"/>
      <c r="G20" s="26"/>
      <c r="H20" s="26"/>
      <c r="I20" s="26"/>
    </row>
    <row r="21" spans="1:11" s="14" customFormat="1" ht="15" customHeight="1" thickBot="1" x14ac:dyDescent="0.25">
      <c r="A21" s="441" t="s">
        <v>206</v>
      </c>
      <c r="B21" s="446" t="s">
        <v>76</v>
      </c>
      <c r="C21" s="32"/>
      <c r="D21" s="441" t="s">
        <v>25</v>
      </c>
      <c r="E21" s="446" t="s">
        <v>76</v>
      </c>
      <c r="F21" s="32"/>
      <c r="G21" s="26"/>
      <c r="H21" s="26"/>
      <c r="I21" s="26"/>
    </row>
    <row r="22" spans="1:11" s="14" customFormat="1" ht="15" customHeight="1" thickTop="1" x14ac:dyDescent="0.2">
      <c r="A22" s="606" t="s">
        <v>426</v>
      </c>
      <c r="B22" s="608">
        <f>LoanAccrInt</f>
        <v>0</v>
      </c>
      <c r="C22" s="32"/>
      <c r="D22" s="622" t="s">
        <v>328</v>
      </c>
      <c r="E22" s="281"/>
      <c r="F22" s="32"/>
      <c r="G22" s="26"/>
      <c r="H22" s="20"/>
      <c r="I22" s="20"/>
      <c r="J22" s="17"/>
      <c r="K22" s="17"/>
    </row>
    <row r="23" spans="1:11" s="17" customFormat="1" ht="15" customHeight="1" x14ac:dyDescent="0.2">
      <c r="A23" s="282"/>
      <c r="B23" s="283"/>
      <c r="C23" s="33"/>
      <c r="D23" s="282"/>
      <c r="E23" s="283"/>
      <c r="F23" s="33"/>
      <c r="G23" s="20"/>
      <c r="H23" s="26"/>
      <c r="I23" s="26"/>
      <c r="J23" s="14"/>
      <c r="K23" s="14"/>
    </row>
    <row r="24" spans="1:11" s="14" customFormat="1" ht="15" customHeight="1" x14ac:dyDescent="0.2">
      <c r="A24" s="284"/>
      <c r="B24" s="285"/>
      <c r="C24" s="32"/>
      <c r="D24" s="284"/>
      <c r="E24" s="285"/>
      <c r="F24" s="32"/>
      <c r="G24" s="26"/>
      <c r="H24" s="26"/>
      <c r="I24" s="26"/>
    </row>
    <row r="25" spans="1:11" s="14" customFormat="1" ht="15" customHeight="1" x14ac:dyDescent="0.2">
      <c r="A25" s="282"/>
      <c r="B25" s="283"/>
      <c r="C25" s="32"/>
      <c r="D25" s="282"/>
      <c r="E25" s="283"/>
      <c r="F25" s="32"/>
      <c r="G25" s="26"/>
      <c r="H25" s="26"/>
      <c r="I25" s="26"/>
    </row>
    <row r="26" spans="1:11" s="14" customFormat="1" ht="15" customHeight="1" x14ac:dyDescent="0.2">
      <c r="A26" s="212" t="str">
        <f>CONCATENATE("Sub-Total ",A21)</f>
        <v>Sub-Total Accrued Interest</v>
      </c>
      <c r="B26" s="213">
        <f>SUM('Liability Entry'!$B$22:$B$25)</f>
        <v>0</v>
      </c>
      <c r="C26" s="32"/>
      <c r="D26" s="212" t="str">
        <f>CONCATENATE("Sub-Total ",D21)</f>
        <v>Sub-Total Personal Taxes Payable</v>
      </c>
      <c r="E26" s="213">
        <f>SUM('Liability Entry'!$E$22:$E$25)</f>
        <v>0</v>
      </c>
      <c r="F26" s="32"/>
      <c r="G26" s="26"/>
      <c r="H26" s="20"/>
      <c r="I26" s="20"/>
      <c r="J26" s="17"/>
      <c r="K26" s="17"/>
    </row>
    <row r="27" spans="1:11" s="14" customFormat="1" ht="15" customHeight="1" x14ac:dyDescent="0.2">
      <c r="A27" s="70"/>
      <c r="B27" s="74"/>
      <c r="C27" s="85"/>
      <c r="D27" s="70"/>
      <c r="E27" s="74"/>
      <c r="F27" s="33"/>
      <c r="G27" s="20"/>
      <c r="H27" s="20"/>
      <c r="I27" s="20"/>
      <c r="J27" s="17"/>
      <c r="K27" s="17"/>
    </row>
    <row r="28" spans="1:11" s="14" customFormat="1" ht="15" customHeight="1" thickBot="1" x14ac:dyDescent="0.25">
      <c r="A28" s="441" t="s">
        <v>30</v>
      </c>
      <c r="B28" s="446" t="s">
        <v>76</v>
      </c>
      <c r="C28" s="85"/>
      <c r="D28" s="441" t="s">
        <v>27</v>
      </c>
      <c r="E28" s="446" t="s">
        <v>76</v>
      </c>
      <c r="F28" s="33"/>
      <c r="G28" s="20"/>
      <c r="H28" s="26"/>
      <c r="I28" s="26"/>
    </row>
    <row r="29" spans="1:11" s="14" customFormat="1" ht="15" customHeight="1" thickTop="1" x14ac:dyDescent="0.2">
      <c r="A29" s="328" t="s">
        <v>447</v>
      </c>
      <c r="B29" s="281"/>
      <c r="C29" s="32"/>
      <c r="D29" s="280"/>
      <c r="E29" s="281"/>
      <c r="F29" s="32"/>
      <c r="G29" s="26"/>
      <c r="H29" s="26"/>
      <c r="I29" s="26"/>
    </row>
    <row r="30" spans="1:11" s="14" customFormat="1" ht="15" customHeight="1" x14ac:dyDescent="0.2">
      <c r="A30" s="329" t="s">
        <v>448</v>
      </c>
      <c r="B30" s="283"/>
      <c r="C30" s="32"/>
      <c r="D30" s="282"/>
      <c r="E30" s="283"/>
      <c r="F30" s="32"/>
      <c r="G30" s="26"/>
      <c r="H30" s="26"/>
      <c r="I30" s="26"/>
    </row>
    <row r="31" spans="1:11" s="14" customFormat="1" ht="15" customHeight="1" x14ac:dyDescent="0.2">
      <c r="A31" s="284"/>
      <c r="B31" s="285"/>
      <c r="C31" s="32"/>
      <c r="D31" s="284"/>
      <c r="E31" s="285"/>
      <c r="F31" s="32"/>
      <c r="G31" s="26"/>
      <c r="H31" s="20"/>
      <c r="I31" s="20"/>
      <c r="J31" s="17"/>
      <c r="K31" s="17"/>
    </row>
    <row r="32" spans="1:11" s="17" customFormat="1" ht="15" customHeight="1" x14ac:dyDescent="0.2">
      <c r="A32" s="282"/>
      <c r="B32" s="283"/>
      <c r="C32" s="33"/>
      <c r="D32" s="282"/>
      <c r="E32" s="283"/>
      <c r="F32" s="33"/>
      <c r="G32" s="20"/>
      <c r="H32" s="20"/>
      <c r="I32" s="20"/>
    </row>
    <row r="33" spans="1:11" s="17" customFormat="1" ht="15" customHeight="1" x14ac:dyDescent="0.2">
      <c r="A33" s="212" t="str">
        <f>CONCATENATE("Sub-Total ",A28)</f>
        <v>Sub-Total Taxes &amp; Assessments Payable</v>
      </c>
      <c r="B33" s="213">
        <f>SUM('Liability Entry'!$B$29:$B$32)</f>
        <v>0</v>
      </c>
      <c r="C33" s="33"/>
      <c r="D33" s="212" t="str">
        <f>CONCATENATE("Sub-Total ",D28)</f>
        <v>Sub-Total Other Personal Liabilities</v>
      </c>
      <c r="E33" s="220">
        <f>SUM('Liability Entry'!$E$29:$E$32)</f>
        <v>0</v>
      </c>
      <c r="F33" s="33"/>
      <c r="G33" s="20"/>
      <c r="H33" s="26"/>
      <c r="I33" s="26"/>
      <c r="J33" s="14"/>
      <c r="K33" s="14"/>
    </row>
    <row r="34" spans="1:11" s="14" customFormat="1" ht="15" customHeight="1" x14ac:dyDescent="0.2">
      <c r="A34" s="21"/>
      <c r="B34" s="43"/>
      <c r="C34" s="32"/>
      <c r="D34" s="21"/>
      <c r="E34" s="43"/>
      <c r="F34" s="32"/>
      <c r="G34" s="26"/>
      <c r="H34" s="26"/>
      <c r="I34" s="26"/>
    </row>
    <row r="35" spans="1:11" s="14" customFormat="1" ht="15" customHeight="1" thickBot="1" x14ac:dyDescent="0.25">
      <c r="A35" s="441" t="s">
        <v>248</v>
      </c>
      <c r="B35" s="446" t="s">
        <v>76</v>
      </c>
      <c r="C35" s="32"/>
      <c r="D35" s="33"/>
      <c r="E35" s="33"/>
      <c r="F35" s="32"/>
      <c r="G35" s="26"/>
      <c r="H35" s="26"/>
      <c r="I35" s="26"/>
    </row>
    <row r="36" spans="1:11" s="14" customFormat="1" ht="15" customHeight="1" thickTop="1" x14ac:dyDescent="0.2">
      <c r="A36" s="280"/>
      <c r="B36" s="281"/>
      <c r="C36" s="32"/>
      <c r="D36" s="33"/>
      <c r="E36" s="33"/>
      <c r="F36" s="32"/>
      <c r="G36" s="26"/>
      <c r="H36" s="26"/>
      <c r="I36" s="26"/>
    </row>
    <row r="37" spans="1:11" s="14" customFormat="1" ht="15" customHeight="1" x14ac:dyDescent="0.2">
      <c r="A37" s="282"/>
      <c r="B37" s="283"/>
      <c r="C37" s="32"/>
      <c r="D37" s="33"/>
      <c r="E37" s="33"/>
      <c r="F37" s="32"/>
      <c r="G37" s="26"/>
      <c r="H37" s="26"/>
      <c r="I37" s="26"/>
    </row>
    <row r="38" spans="1:11" s="14" customFormat="1" ht="15" customHeight="1" x14ac:dyDescent="0.2">
      <c r="A38" s="284"/>
      <c r="B38" s="285"/>
      <c r="C38" s="32"/>
      <c r="D38" s="33"/>
      <c r="E38" s="33"/>
      <c r="F38" s="32"/>
      <c r="G38" s="26"/>
      <c r="H38" s="26"/>
      <c r="I38" s="26"/>
    </row>
    <row r="39" spans="1:11" s="14" customFormat="1" ht="15" customHeight="1" x14ac:dyDescent="0.2">
      <c r="A39" s="282"/>
      <c r="B39" s="283"/>
      <c r="C39" s="32"/>
      <c r="D39" s="33"/>
      <c r="E39" s="33"/>
      <c r="F39" s="32"/>
      <c r="G39" s="26"/>
      <c r="H39" s="26"/>
      <c r="I39" s="26"/>
    </row>
    <row r="40" spans="1:11" s="14" customFormat="1" ht="15" customHeight="1" x14ac:dyDescent="0.2">
      <c r="A40" s="212" t="str">
        <f>CONCATENATE("Sub-Total ",A35)</f>
        <v>Sub-Total Other Current Liabilities</v>
      </c>
      <c r="B40" s="220">
        <f>SUM('Liability Entry'!$B$36:$B$39)</f>
        <v>0</v>
      </c>
      <c r="C40" s="32"/>
      <c r="D40" s="33"/>
      <c r="E40" s="33"/>
      <c r="F40" s="32"/>
      <c r="G40" s="26"/>
      <c r="H40" s="26"/>
      <c r="I40" s="26"/>
    </row>
    <row r="41" spans="1:11" s="14" customFormat="1" ht="15" customHeight="1" x14ac:dyDescent="0.2">
      <c r="A41" s="18"/>
      <c r="B41" s="43"/>
      <c r="C41" s="32"/>
      <c r="D41" s="33"/>
      <c r="E41" s="33"/>
      <c r="F41" s="32"/>
      <c r="G41" s="26"/>
    </row>
    <row r="42" spans="1:11" s="14" customFormat="1" ht="15" customHeight="1" thickBot="1" x14ac:dyDescent="0.25">
      <c r="A42" s="441" t="s">
        <v>249</v>
      </c>
      <c r="B42" s="446" t="s">
        <v>76</v>
      </c>
      <c r="C42" s="86"/>
      <c r="D42" s="32"/>
      <c r="E42" s="32"/>
      <c r="F42" s="86"/>
      <c r="H42" s="17"/>
      <c r="I42" s="17"/>
      <c r="J42" s="17"/>
      <c r="K42" s="17"/>
    </row>
    <row r="43" spans="1:11" s="17" customFormat="1" ht="15" customHeight="1" thickTop="1" x14ac:dyDescent="0.2">
      <c r="A43" s="280"/>
      <c r="B43" s="281"/>
      <c r="C43" s="34"/>
      <c r="D43" s="32"/>
      <c r="E43" s="32"/>
      <c r="F43" s="34"/>
    </row>
    <row r="44" spans="1:11" s="17" customFormat="1" ht="15" customHeight="1" x14ac:dyDescent="0.2">
      <c r="A44" s="282"/>
      <c r="B44" s="283"/>
      <c r="C44" s="34"/>
      <c r="D44" s="32"/>
      <c r="E44" s="32"/>
      <c r="F44" s="34"/>
    </row>
    <row r="45" spans="1:11" s="17" customFormat="1" ht="15" customHeight="1" x14ac:dyDescent="0.2">
      <c r="A45" s="284"/>
      <c r="B45" s="285"/>
      <c r="C45" s="34"/>
      <c r="D45" s="32"/>
      <c r="E45" s="32"/>
      <c r="F45" s="34"/>
    </row>
    <row r="46" spans="1:11" s="17" customFormat="1" ht="15" customHeight="1" x14ac:dyDescent="0.2">
      <c r="A46" s="282"/>
      <c r="B46" s="283"/>
      <c r="C46" s="34"/>
      <c r="D46" s="32"/>
      <c r="E46" s="32"/>
      <c r="F46" s="34"/>
      <c r="H46" s="14"/>
      <c r="I46" s="14"/>
      <c r="J46" s="14"/>
      <c r="K46" s="14"/>
    </row>
    <row r="47" spans="1:11" s="14" customFormat="1" ht="15" customHeight="1" x14ac:dyDescent="0.2">
      <c r="A47" s="212" t="str">
        <f>CONCATENATE("Sub-Total ",A42)</f>
        <v>Sub-Total Other Non-Current Liabilities</v>
      </c>
      <c r="B47" s="220">
        <f>SUM('Liability Entry'!$B$43:$B$46)</f>
        <v>0</v>
      </c>
      <c r="C47" s="86"/>
      <c r="D47" s="32"/>
      <c r="E47" s="32"/>
      <c r="F47" s="86"/>
    </row>
    <row r="48" spans="1:11" s="14" customFormat="1" ht="15" customHeight="1" x14ac:dyDescent="0.2">
      <c r="C48" s="86"/>
      <c r="D48" s="32"/>
      <c r="E48" s="32"/>
      <c r="F48" s="86"/>
    </row>
    <row r="49" spans="1:11" s="14" customFormat="1" ht="15" customHeight="1" x14ac:dyDescent="0.2">
      <c r="C49" s="86"/>
      <c r="D49" s="32"/>
      <c r="E49" s="32"/>
      <c r="F49" s="86"/>
    </row>
    <row r="50" spans="1:11" s="14" customFormat="1" ht="15" customHeight="1" x14ac:dyDescent="0.2">
      <c r="C50" s="86"/>
      <c r="D50" s="32"/>
      <c r="E50" s="32"/>
      <c r="F50" s="86"/>
    </row>
    <row r="51" spans="1:11" s="14" customFormat="1" ht="15" customHeight="1" x14ac:dyDescent="0.2">
      <c r="C51" s="86"/>
      <c r="D51" s="86"/>
      <c r="E51" s="32"/>
      <c r="F51" s="86"/>
    </row>
    <row r="52" spans="1:11" s="14" customFormat="1" ht="15" customHeight="1" x14ac:dyDescent="0.2">
      <c r="C52" s="86"/>
      <c r="D52" s="86"/>
      <c r="E52" s="32"/>
      <c r="F52" s="86"/>
    </row>
    <row r="53" spans="1:11" s="14" customFormat="1" ht="15" customHeight="1" x14ac:dyDescent="0.2">
      <c r="A53" s="17"/>
      <c r="B53" s="17"/>
      <c r="C53" s="86"/>
      <c r="D53" s="41"/>
      <c r="E53" s="41"/>
      <c r="F53" s="86"/>
    </row>
    <row r="54" spans="1:11" s="14" customFormat="1" ht="15" customHeight="1" x14ac:dyDescent="0.2">
      <c r="A54" s="17"/>
      <c r="B54" s="17"/>
      <c r="C54" s="86"/>
      <c r="D54" s="39"/>
      <c r="E54" s="39"/>
      <c r="F54" s="86"/>
      <c r="H54" s="17"/>
      <c r="I54" s="17"/>
      <c r="J54" s="17"/>
      <c r="K54" s="17"/>
    </row>
    <row r="55" spans="1:11" s="17" customFormat="1" ht="15" customHeight="1" x14ac:dyDescent="0.2">
      <c r="C55" s="33"/>
      <c r="D55" s="32"/>
      <c r="E55" s="32"/>
    </row>
    <row r="56" spans="1:11" s="17" customFormat="1" ht="15" customHeight="1" x14ac:dyDescent="0.2">
      <c r="C56" s="33"/>
      <c r="D56" s="32"/>
      <c r="E56" s="32"/>
      <c r="F56" s="33"/>
    </row>
    <row r="57" spans="1:11" s="17" customFormat="1" ht="15" customHeight="1" x14ac:dyDescent="0.2">
      <c r="A57" s="14"/>
      <c r="B57" s="14"/>
      <c r="C57" s="33"/>
      <c r="D57" s="33"/>
      <c r="E57" s="33"/>
      <c r="F57" s="33"/>
    </row>
    <row r="58" spans="1:11" s="17" customFormat="1" ht="15" customHeight="1" x14ac:dyDescent="0.2">
      <c r="A58" s="14"/>
      <c r="B58" s="14"/>
      <c r="C58" s="33"/>
      <c r="D58" s="33"/>
      <c r="E58" s="33"/>
      <c r="F58" s="33"/>
    </row>
    <row r="59" spans="1:11" s="17" customFormat="1" ht="15" customHeight="1" x14ac:dyDescent="0.2">
      <c r="A59" s="14"/>
      <c r="B59" s="14"/>
      <c r="C59" s="33"/>
      <c r="D59" s="33"/>
      <c r="E59" s="33"/>
      <c r="F59" s="33"/>
    </row>
    <row r="60" spans="1:11" s="17" customFormat="1" ht="15" customHeight="1" x14ac:dyDescent="0.2">
      <c r="A60" s="14"/>
      <c r="B60" s="14"/>
      <c r="C60" s="33"/>
      <c r="D60" s="32"/>
      <c r="E60" s="32"/>
      <c r="F60" s="33"/>
    </row>
    <row r="61" spans="1:11" s="17" customFormat="1" ht="15" customHeight="1" x14ac:dyDescent="0.2">
      <c r="A61" s="14"/>
      <c r="B61" s="14"/>
      <c r="C61" s="33"/>
      <c r="D61" s="32"/>
      <c r="E61" s="32"/>
      <c r="F61" s="33"/>
    </row>
    <row r="62" spans="1:11" s="17" customFormat="1" ht="15" customHeight="1" x14ac:dyDescent="0.2">
      <c r="A62" s="14"/>
      <c r="B62" s="14"/>
      <c r="C62" s="33"/>
      <c r="D62" s="32"/>
      <c r="E62" s="32"/>
      <c r="F62" s="33"/>
    </row>
    <row r="63" spans="1:11" s="17" customFormat="1" ht="15" customHeight="1" x14ac:dyDescent="0.2">
      <c r="A63" s="14"/>
      <c r="B63" s="14"/>
      <c r="C63" s="33"/>
      <c r="D63" s="33"/>
      <c r="E63" s="33"/>
      <c r="F63" s="33"/>
    </row>
    <row r="64" spans="1:11" s="17" customFormat="1" ht="15" customHeight="1" x14ac:dyDescent="0.2">
      <c r="A64" s="14"/>
      <c r="B64" s="14"/>
      <c r="C64" s="33"/>
      <c r="D64" s="33"/>
      <c r="E64" s="33"/>
      <c r="F64" s="33"/>
    </row>
    <row r="65" spans="1:11" s="17" customFormat="1" ht="15" customHeight="1" x14ac:dyDescent="0.2">
      <c r="C65" s="33"/>
      <c r="D65" s="33"/>
      <c r="E65" s="33"/>
      <c r="F65" s="33"/>
    </row>
    <row r="66" spans="1:11" s="17" customFormat="1" ht="15" customHeight="1" x14ac:dyDescent="0.2">
      <c r="C66" s="33"/>
      <c r="D66" s="32"/>
      <c r="E66" s="32"/>
      <c r="F66" s="33"/>
    </row>
    <row r="67" spans="1:11" s="17" customFormat="1" ht="15" customHeight="1" x14ac:dyDescent="0.2">
      <c r="C67" s="33"/>
      <c r="D67" s="32"/>
      <c r="E67" s="32"/>
      <c r="F67" s="33"/>
    </row>
    <row r="68" spans="1:11" s="17" customFormat="1" ht="15" customHeight="1" x14ac:dyDescent="0.2">
      <c r="C68" s="33"/>
      <c r="D68" s="32"/>
      <c r="E68" s="32"/>
      <c r="F68" s="33"/>
    </row>
    <row r="69" spans="1:11" s="17" customFormat="1" ht="15" customHeight="1" x14ac:dyDescent="0.2">
      <c r="C69" s="33"/>
      <c r="D69" s="33"/>
      <c r="E69" s="33"/>
      <c r="F69" s="33"/>
    </row>
    <row r="70" spans="1:11" s="17" customFormat="1" ht="15" customHeight="1" x14ac:dyDescent="0.2">
      <c r="C70" s="33"/>
      <c r="D70" s="33"/>
      <c r="E70" s="33"/>
      <c r="F70" s="33"/>
    </row>
    <row r="71" spans="1:11" s="17" customFormat="1" ht="15" customHeight="1" x14ac:dyDescent="0.2">
      <c r="C71" s="33"/>
      <c r="D71" s="33"/>
      <c r="E71" s="33"/>
      <c r="F71" s="33"/>
    </row>
    <row r="72" spans="1:11" s="17" customFormat="1" ht="15" customHeight="1" x14ac:dyDescent="0.2">
      <c r="C72" s="33"/>
      <c r="D72" s="32"/>
      <c r="E72" s="32"/>
      <c r="F72" s="33"/>
    </row>
    <row r="73" spans="1:11" s="17" customFormat="1" ht="15" customHeight="1" x14ac:dyDescent="0.2">
      <c r="C73" s="33"/>
      <c r="D73" s="32"/>
      <c r="E73" s="32"/>
      <c r="F73" s="33"/>
    </row>
    <row r="74" spans="1:11" s="17" customFormat="1" ht="15" customHeight="1" x14ac:dyDescent="0.2">
      <c r="C74" s="33"/>
      <c r="D74" s="32"/>
      <c r="E74" s="32"/>
      <c r="F74" s="33"/>
    </row>
    <row r="75" spans="1:11" s="17" customFormat="1" ht="15" customHeight="1" x14ac:dyDescent="0.2">
      <c r="C75" s="33"/>
      <c r="D75" s="33"/>
      <c r="E75" s="33"/>
      <c r="F75" s="33"/>
      <c r="H75" s="14"/>
      <c r="I75" s="14"/>
      <c r="J75" s="14"/>
      <c r="K75" s="14"/>
    </row>
    <row r="76" spans="1:11" s="14" customFormat="1" ht="15" customHeight="1" x14ac:dyDescent="0.2">
      <c r="A76" s="17"/>
      <c r="B76" s="17"/>
      <c r="C76" s="32"/>
      <c r="D76" s="33"/>
      <c r="E76" s="33"/>
      <c r="F76" s="32"/>
    </row>
    <row r="77" spans="1:11" s="14" customFormat="1" ht="15" customHeight="1" x14ac:dyDescent="0.2">
      <c r="A77" s="17"/>
      <c r="B77" s="17"/>
      <c r="C77" s="32"/>
      <c r="D77" s="32"/>
      <c r="E77" s="32"/>
      <c r="F77" s="32"/>
    </row>
    <row r="78" spans="1:11" s="14" customFormat="1" ht="15" customHeight="1" x14ac:dyDescent="0.2">
      <c r="A78" s="17"/>
      <c r="B78" s="17"/>
      <c r="C78" s="32"/>
      <c r="D78" s="32"/>
      <c r="E78" s="32"/>
      <c r="F78" s="32"/>
    </row>
    <row r="79" spans="1:11" s="14" customFormat="1" ht="15" customHeight="1" x14ac:dyDescent="0.2">
      <c r="A79" s="17"/>
      <c r="B79" s="17"/>
      <c r="C79" s="32"/>
      <c r="D79" s="86"/>
      <c r="E79" s="86"/>
      <c r="F79" s="32"/>
    </row>
    <row r="80" spans="1:11" s="14" customFormat="1" ht="15" customHeight="1" x14ac:dyDescent="0.2">
      <c r="A80" s="17"/>
      <c r="B80" s="17"/>
      <c r="C80" s="32"/>
      <c r="D80" s="34"/>
      <c r="E80" s="34"/>
      <c r="F80" s="32"/>
    </row>
    <row r="81" spans="1:11" s="14" customFormat="1" ht="15" customHeight="1" x14ac:dyDescent="0.2">
      <c r="A81" s="17"/>
      <c r="B81" s="17"/>
      <c r="C81" s="32"/>
      <c r="D81" s="34"/>
      <c r="E81" s="34"/>
      <c r="F81" s="32"/>
    </row>
    <row r="82" spans="1:11" s="14" customFormat="1" ht="15" customHeight="1" x14ac:dyDescent="0.2">
      <c r="A82" s="17"/>
      <c r="B82" s="17"/>
      <c r="C82" s="32"/>
      <c r="D82" s="34"/>
      <c r="E82" s="34"/>
      <c r="F82" s="32"/>
    </row>
    <row r="83" spans="1:11" s="14" customFormat="1" ht="15" customHeight="1" x14ac:dyDescent="0.2">
      <c r="A83" s="17"/>
      <c r="B83" s="17"/>
      <c r="C83" s="32"/>
      <c r="D83" s="86"/>
      <c r="E83" s="86"/>
      <c r="F83" s="32"/>
    </row>
    <row r="84" spans="1:11" s="14" customFormat="1" ht="15" customHeight="1" x14ac:dyDescent="0.2">
      <c r="A84" s="17"/>
      <c r="B84" s="17"/>
      <c r="C84" s="32"/>
      <c r="D84" s="86"/>
      <c r="E84" s="86"/>
      <c r="F84" s="32"/>
    </row>
    <row r="85" spans="1:11" s="14" customFormat="1" ht="15" customHeight="1" x14ac:dyDescent="0.2">
      <c r="A85" s="17"/>
      <c r="B85" s="17"/>
      <c r="C85" s="86"/>
      <c r="D85" s="86"/>
      <c r="E85" s="86"/>
      <c r="F85" s="32"/>
    </row>
    <row r="86" spans="1:11" s="14" customFormat="1" ht="15" customHeight="1" x14ac:dyDescent="0.2">
      <c r="C86" s="86"/>
      <c r="D86" s="86"/>
      <c r="E86" s="86"/>
      <c r="F86" s="32"/>
      <c r="H86" s="41"/>
      <c r="I86" s="41"/>
      <c r="J86" s="41"/>
      <c r="K86" s="41"/>
    </row>
    <row r="87" spans="1:11" s="41" customFormat="1" ht="15" customHeight="1" x14ac:dyDescent="0.2">
      <c r="A87" s="14"/>
      <c r="B87" s="14"/>
      <c r="D87" s="86"/>
      <c r="E87" s="86"/>
      <c r="H87" s="39"/>
      <c r="I87" s="39"/>
      <c r="J87" s="29"/>
      <c r="K87" s="29"/>
    </row>
    <row r="88" spans="1:11" s="29" customFormat="1" ht="15" customHeight="1" x14ac:dyDescent="0.2">
      <c r="A88" s="14"/>
      <c r="B88" s="14"/>
      <c r="C88" s="83"/>
      <c r="D88" s="86"/>
      <c r="E88" s="86"/>
      <c r="F88" s="39"/>
      <c r="G88" s="39"/>
      <c r="H88" s="26"/>
      <c r="I88" s="26"/>
      <c r="J88" s="14"/>
      <c r="K88" s="14"/>
    </row>
    <row r="89" spans="1:11" s="14" customFormat="1" ht="15" customHeight="1" x14ac:dyDescent="0.2">
      <c r="C89" s="32"/>
      <c r="D89" s="86"/>
      <c r="E89" s="86"/>
      <c r="F89" s="32"/>
      <c r="G89" s="26"/>
      <c r="H89" s="26"/>
      <c r="I89" s="26"/>
    </row>
    <row r="90" spans="1:11" s="14" customFormat="1" ht="15" customHeight="1" x14ac:dyDescent="0.2">
      <c r="C90" s="32"/>
      <c r="D90" s="17"/>
      <c r="E90" s="17"/>
      <c r="F90" s="32"/>
      <c r="G90" s="26"/>
      <c r="H90" s="20"/>
      <c r="I90" s="20"/>
      <c r="J90" s="17"/>
      <c r="K90" s="17"/>
    </row>
    <row r="91" spans="1:11" s="17" customFormat="1" ht="15" customHeight="1" x14ac:dyDescent="0.2">
      <c r="A91" s="14"/>
      <c r="B91" s="14"/>
      <c r="C91" s="33"/>
      <c r="D91" s="33"/>
      <c r="E91" s="33"/>
      <c r="F91" s="33"/>
      <c r="G91" s="20"/>
      <c r="H91" s="20"/>
      <c r="I91" s="20"/>
    </row>
    <row r="92" spans="1:11" s="17" customFormat="1" ht="15" customHeight="1" x14ac:dyDescent="0.2">
      <c r="A92" s="14"/>
      <c r="B92" s="14"/>
      <c r="C92" s="33"/>
      <c r="D92" s="33"/>
      <c r="E92" s="33"/>
      <c r="F92" s="33"/>
      <c r="G92" s="20"/>
      <c r="H92" s="20"/>
      <c r="I92" s="20"/>
    </row>
    <row r="93" spans="1:11" s="17" customFormat="1" ht="15" customHeight="1" x14ac:dyDescent="0.2">
      <c r="A93" s="14"/>
      <c r="B93" s="14"/>
      <c r="C93" s="33"/>
      <c r="D93" s="33"/>
      <c r="E93" s="33"/>
      <c r="F93" s="33"/>
      <c r="G93" s="20"/>
      <c r="H93" s="26"/>
      <c r="I93" s="26"/>
      <c r="J93" s="14"/>
      <c r="K93" s="14"/>
    </row>
    <row r="94" spans="1:11" s="14" customFormat="1" ht="15" customHeight="1" x14ac:dyDescent="0.2">
      <c r="C94" s="32"/>
      <c r="D94" s="33"/>
      <c r="E94" s="33"/>
      <c r="F94" s="32"/>
      <c r="G94" s="26"/>
      <c r="H94" s="26"/>
      <c r="I94" s="26"/>
    </row>
    <row r="95" spans="1:11" s="14" customFormat="1" ht="15" customHeight="1" x14ac:dyDescent="0.2">
      <c r="C95" s="32"/>
      <c r="D95" s="33"/>
      <c r="E95" s="33"/>
      <c r="F95" s="32"/>
      <c r="G95" s="26"/>
      <c r="H95" s="26"/>
      <c r="I95" s="26"/>
    </row>
    <row r="96" spans="1:11" s="14" customFormat="1" ht="15" customHeight="1" x14ac:dyDescent="0.2">
      <c r="C96" s="32"/>
      <c r="D96" s="33"/>
      <c r="E96" s="33"/>
      <c r="F96" s="32"/>
      <c r="G96" s="26"/>
      <c r="H96" s="20"/>
      <c r="I96" s="20"/>
      <c r="J96" s="17"/>
      <c r="K96" s="17"/>
    </row>
    <row r="97" spans="1:11" s="17" customFormat="1" ht="15" customHeight="1" x14ac:dyDescent="0.2">
      <c r="A97" s="41"/>
      <c r="B97" s="41"/>
      <c r="C97" s="33"/>
      <c r="D97" s="33"/>
      <c r="E97" s="33"/>
      <c r="F97" s="33"/>
      <c r="G97" s="20"/>
      <c r="H97" s="20"/>
      <c r="I97" s="20"/>
    </row>
    <row r="98" spans="1:11" s="17" customFormat="1" ht="15" customHeight="1" x14ac:dyDescent="0.2">
      <c r="A98" s="29"/>
      <c r="B98" s="29"/>
      <c r="C98" s="33"/>
      <c r="D98" s="33"/>
      <c r="E98" s="33"/>
      <c r="F98" s="33"/>
      <c r="G98" s="20"/>
      <c r="H98" s="20"/>
      <c r="I98" s="20"/>
    </row>
    <row r="99" spans="1:11" s="17" customFormat="1" ht="15" customHeight="1" x14ac:dyDescent="0.2">
      <c r="A99" s="14"/>
      <c r="B99" s="14"/>
      <c r="C99" s="33"/>
      <c r="D99" s="33"/>
      <c r="E99" s="33"/>
      <c r="F99" s="33"/>
      <c r="G99" s="20"/>
      <c r="H99" s="26"/>
      <c r="I99" s="26"/>
      <c r="J99" s="14"/>
      <c r="K99" s="14"/>
    </row>
    <row r="100" spans="1:11" s="14" customFormat="1" ht="15" customHeight="1" x14ac:dyDescent="0.2">
      <c r="C100" s="32"/>
      <c r="D100" s="33"/>
      <c r="E100" s="33"/>
      <c r="F100" s="32"/>
      <c r="G100" s="26"/>
      <c r="H100" s="26"/>
      <c r="I100" s="26"/>
    </row>
    <row r="101" spans="1:11" s="14" customFormat="1" ht="15" customHeight="1" x14ac:dyDescent="0.2">
      <c r="A101" s="17"/>
      <c r="B101" s="17"/>
      <c r="C101" s="32"/>
      <c r="D101" s="33"/>
      <c r="E101" s="33"/>
      <c r="F101" s="32"/>
      <c r="G101" s="26"/>
      <c r="H101" s="26"/>
      <c r="I101" s="26"/>
    </row>
    <row r="102" spans="1:11" s="14" customFormat="1" ht="15" customHeight="1" x14ac:dyDescent="0.2">
      <c r="A102" s="17"/>
      <c r="B102" s="17"/>
      <c r="C102" s="32"/>
      <c r="D102" s="33"/>
      <c r="E102" s="33"/>
      <c r="F102" s="32"/>
      <c r="G102" s="26"/>
      <c r="H102" s="20"/>
      <c r="I102" s="20"/>
      <c r="J102" s="17"/>
      <c r="K102" s="17"/>
    </row>
    <row r="103" spans="1:11" s="14" customFormat="1" ht="15" customHeight="1" x14ac:dyDescent="0.2">
      <c r="A103" s="17"/>
      <c r="B103" s="17"/>
      <c r="C103" s="85"/>
      <c r="D103" s="33"/>
      <c r="E103" s="33"/>
      <c r="F103" s="33"/>
      <c r="G103" s="20"/>
      <c r="H103" s="20"/>
      <c r="I103" s="20"/>
      <c r="J103" s="17"/>
      <c r="K103" s="17"/>
    </row>
    <row r="104" spans="1:11" s="14" customFormat="1" ht="15" customHeight="1" x14ac:dyDescent="0.2">
      <c r="C104" s="85"/>
      <c r="D104" s="33"/>
      <c r="E104" s="33"/>
      <c r="F104" s="33"/>
      <c r="G104" s="20"/>
      <c r="H104" s="20"/>
      <c r="I104" s="20"/>
      <c r="J104" s="17"/>
      <c r="K104" s="17"/>
    </row>
    <row r="105" spans="1:11" s="14" customFormat="1" ht="15" customHeight="1" x14ac:dyDescent="0.2">
      <c r="C105" s="85"/>
      <c r="D105" s="33"/>
      <c r="E105" s="33"/>
      <c r="F105" s="33"/>
      <c r="G105" s="20"/>
      <c r="H105" s="26"/>
      <c r="I105" s="26"/>
    </row>
    <row r="106" spans="1:11" s="14" customFormat="1" ht="15" customHeight="1" x14ac:dyDescent="0.2">
      <c r="C106" s="32"/>
      <c r="D106" s="33"/>
      <c r="E106" s="33"/>
      <c r="F106" s="32"/>
      <c r="G106" s="26"/>
      <c r="H106" s="26"/>
      <c r="I106" s="26"/>
    </row>
    <row r="107" spans="1:11" s="14" customFormat="1" ht="15" customHeight="1" x14ac:dyDescent="0.2">
      <c r="A107" s="17"/>
      <c r="B107" s="17"/>
      <c r="C107" s="32"/>
      <c r="D107" s="32"/>
      <c r="E107" s="32"/>
      <c r="F107" s="32"/>
      <c r="G107" s="26"/>
      <c r="H107" s="26"/>
      <c r="I107" s="26"/>
    </row>
    <row r="108" spans="1:11" s="14" customFormat="1" ht="15" customHeight="1" x14ac:dyDescent="0.2">
      <c r="A108" s="68"/>
      <c r="B108" s="87"/>
      <c r="C108" s="32"/>
      <c r="D108" s="32"/>
      <c r="E108" s="32"/>
      <c r="F108" s="32"/>
      <c r="G108" s="26"/>
      <c r="H108" s="20"/>
      <c r="I108" s="20"/>
      <c r="J108" s="17"/>
      <c r="K108" s="17"/>
    </row>
    <row r="109" spans="1:11" s="17" customFormat="1" ht="15" customHeight="1" x14ac:dyDescent="0.2">
      <c r="A109" s="68"/>
      <c r="B109" s="87"/>
      <c r="C109" s="33"/>
      <c r="D109" s="32"/>
      <c r="E109" s="32"/>
      <c r="F109" s="33"/>
      <c r="G109" s="20"/>
      <c r="H109" s="20"/>
      <c r="I109" s="20"/>
    </row>
    <row r="110" spans="1:11" s="17" customFormat="1" ht="15" customHeight="1" x14ac:dyDescent="0.2">
      <c r="A110" s="68"/>
      <c r="B110" s="87"/>
      <c r="C110" s="33"/>
      <c r="D110" s="32"/>
      <c r="E110" s="32"/>
      <c r="F110" s="33"/>
      <c r="G110" s="20"/>
      <c r="H110" s="26"/>
      <c r="I110" s="26"/>
      <c r="J110" s="14"/>
      <c r="K110" s="14"/>
    </row>
    <row r="111" spans="1:11" s="14" customFormat="1" ht="15" customHeight="1" x14ac:dyDescent="0.2">
      <c r="A111" s="68"/>
      <c r="B111" s="87"/>
      <c r="C111" s="32"/>
      <c r="D111" s="32"/>
      <c r="E111" s="32"/>
      <c r="F111" s="32"/>
      <c r="G111" s="26"/>
      <c r="H111" s="26"/>
      <c r="I111" s="26"/>
    </row>
    <row r="112" spans="1:11" s="14" customFormat="1" ht="15" customHeight="1" x14ac:dyDescent="0.2">
      <c r="A112" s="68"/>
      <c r="B112" s="87"/>
      <c r="C112" s="32"/>
      <c r="D112" s="32"/>
      <c r="E112" s="32"/>
      <c r="F112" s="32"/>
      <c r="G112" s="26"/>
    </row>
    <row r="113" spans="1:11" s="14" customFormat="1" ht="15" customHeight="1" x14ac:dyDescent="0.2">
      <c r="A113" s="68"/>
      <c r="B113" s="87"/>
      <c r="C113" s="86"/>
      <c r="D113" s="32"/>
      <c r="E113" s="32"/>
      <c r="F113" s="86"/>
      <c r="H113" s="17"/>
      <c r="I113" s="17"/>
      <c r="J113" s="17"/>
      <c r="K113" s="17"/>
    </row>
    <row r="114" spans="1:11" s="17" customFormat="1" ht="15" customHeight="1" x14ac:dyDescent="0.2">
      <c r="A114" s="68"/>
      <c r="B114" s="87"/>
      <c r="C114" s="34"/>
      <c r="D114" s="32"/>
      <c r="E114" s="32"/>
      <c r="F114" s="34"/>
    </row>
    <row r="115" spans="1:11" s="17" customFormat="1" ht="15" customHeight="1" x14ac:dyDescent="0.2">
      <c r="A115" s="68"/>
      <c r="B115" s="87"/>
      <c r="C115" s="34"/>
      <c r="D115" s="41"/>
      <c r="E115" s="41"/>
      <c r="F115" s="34"/>
    </row>
    <row r="116" spans="1:11" s="17" customFormat="1" ht="15" customHeight="1" x14ac:dyDescent="0.2">
      <c r="A116" s="68"/>
      <c r="B116" s="87"/>
      <c r="C116" s="34"/>
      <c r="D116" s="68"/>
      <c r="E116" s="68"/>
      <c r="F116" s="34"/>
      <c r="H116" s="14"/>
      <c r="I116" s="14"/>
      <c r="J116" s="14"/>
      <c r="K116" s="14"/>
    </row>
    <row r="117" spans="1:11" s="14" customFormat="1" ht="15" customHeight="1" x14ac:dyDescent="0.2">
      <c r="A117" s="68"/>
      <c r="B117" s="87"/>
      <c r="C117" s="86"/>
      <c r="D117" s="68"/>
      <c r="E117" s="68"/>
      <c r="F117" s="86"/>
    </row>
    <row r="118" spans="1:11" s="14" customFormat="1" ht="15" customHeight="1" x14ac:dyDescent="0.2">
      <c r="A118" s="68"/>
      <c r="B118" s="87"/>
      <c r="C118" s="86"/>
      <c r="D118" s="68"/>
      <c r="E118" s="68"/>
      <c r="F118" s="86"/>
    </row>
    <row r="119" spans="1:11" s="14" customFormat="1" ht="15" customHeight="1" x14ac:dyDescent="0.2">
      <c r="A119" s="68"/>
      <c r="B119" s="87"/>
      <c r="C119" s="86"/>
      <c r="D119" s="68"/>
      <c r="E119" s="68"/>
      <c r="F119" s="86"/>
    </row>
    <row r="120" spans="1:11" s="14" customFormat="1" ht="15" customHeight="1" x14ac:dyDescent="0.2">
      <c r="A120" s="68"/>
      <c r="B120" s="87"/>
      <c r="C120" s="86"/>
      <c r="D120" s="68"/>
      <c r="E120" s="68"/>
      <c r="F120" s="86"/>
    </row>
    <row r="121" spans="1:11" s="14" customFormat="1" ht="15" customHeight="1" x14ac:dyDescent="0.2">
      <c r="A121" s="68"/>
      <c r="B121" s="87"/>
      <c r="C121" s="86"/>
      <c r="D121" s="68"/>
      <c r="E121" s="68"/>
      <c r="F121" s="86"/>
    </row>
    <row r="122" spans="1:11" s="14" customFormat="1" ht="15" customHeight="1" x14ac:dyDescent="0.2">
      <c r="A122" s="68"/>
      <c r="B122" s="87"/>
      <c r="C122" s="86"/>
      <c r="D122" s="68"/>
      <c r="E122" s="68"/>
      <c r="F122" s="86"/>
    </row>
    <row r="123" spans="1:11" s="14" customFormat="1" ht="15" customHeight="1" x14ac:dyDescent="0.2">
      <c r="A123" s="68"/>
      <c r="B123" s="87"/>
      <c r="C123" s="86"/>
      <c r="D123" s="68"/>
      <c r="E123" s="68"/>
      <c r="F123" s="86"/>
      <c r="H123" s="17"/>
      <c r="I123" s="17"/>
      <c r="J123" s="17"/>
      <c r="K123" s="17"/>
    </row>
    <row r="124" spans="1:11" s="17" customFormat="1" ht="15" customHeight="1" x14ac:dyDescent="0.2">
      <c r="A124" s="68"/>
      <c r="B124" s="87"/>
      <c r="C124" s="33"/>
      <c r="D124" s="68"/>
      <c r="E124" s="68"/>
    </row>
    <row r="125" spans="1:11" s="17" customFormat="1" ht="15" customHeight="1" x14ac:dyDescent="0.2">
      <c r="A125" s="68"/>
      <c r="B125" s="87"/>
      <c r="C125" s="33"/>
      <c r="D125" s="68"/>
      <c r="E125" s="68"/>
      <c r="F125" s="33"/>
    </row>
    <row r="126" spans="1:11" s="17" customFormat="1" ht="15" customHeight="1" x14ac:dyDescent="0.2">
      <c r="A126" s="68"/>
      <c r="B126" s="87"/>
      <c r="C126" s="33"/>
      <c r="D126" s="68"/>
      <c r="E126" s="68"/>
      <c r="F126" s="33"/>
    </row>
    <row r="127" spans="1:11" s="17" customFormat="1" ht="15" customHeight="1" x14ac:dyDescent="0.2">
      <c r="A127" s="68"/>
      <c r="B127" s="87"/>
      <c r="C127" s="33"/>
      <c r="D127" s="68"/>
      <c r="E127" s="68"/>
      <c r="F127" s="33"/>
    </row>
    <row r="128" spans="1:11" s="17" customFormat="1" ht="15" customHeight="1" x14ac:dyDescent="0.2">
      <c r="A128" s="68"/>
      <c r="B128" s="87"/>
      <c r="C128" s="33"/>
      <c r="D128" s="68"/>
      <c r="E128" s="68"/>
      <c r="F128" s="33"/>
    </row>
    <row r="129" spans="1:11" s="17" customFormat="1" ht="15" customHeight="1" x14ac:dyDescent="0.2">
      <c r="A129" s="68"/>
      <c r="B129" s="87"/>
      <c r="C129" s="33" t="s">
        <v>71</v>
      </c>
      <c r="D129" s="68"/>
      <c r="E129" s="68"/>
      <c r="F129" s="33"/>
    </row>
    <row r="130" spans="1:11" s="17" customFormat="1" ht="15" customHeight="1" x14ac:dyDescent="0.2">
      <c r="A130" s="68"/>
      <c r="B130" s="87"/>
      <c r="C130" s="33"/>
      <c r="D130" s="68"/>
      <c r="E130" s="68"/>
      <c r="F130" s="33"/>
    </row>
    <row r="131" spans="1:11" s="17" customFormat="1" ht="15" customHeight="1" x14ac:dyDescent="0.2">
      <c r="A131" s="68"/>
      <c r="B131" s="87"/>
      <c r="C131" s="33"/>
      <c r="D131" s="68"/>
      <c r="E131" s="68"/>
      <c r="F131" s="33"/>
    </row>
    <row r="132" spans="1:11" s="17" customFormat="1" ht="15" customHeight="1" x14ac:dyDescent="0.2">
      <c r="A132" s="68"/>
      <c r="B132" s="87"/>
      <c r="C132" s="33"/>
      <c r="D132" s="68"/>
      <c r="E132" s="68"/>
      <c r="F132" s="33"/>
    </row>
    <row r="133" spans="1:11" s="17" customFormat="1" ht="15" customHeight="1" x14ac:dyDescent="0.2">
      <c r="A133" s="68"/>
      <c r="B133" s="87"/>
      <c r="C133" s="33"/>
      <c r="D133" s="68"/>
      <c r="E133" s="68"/>
      <c r="F133" s="33"/>
    </row>
    <row r="134" spans="1:11" s="17" customFormat="1" ht="15" customHeight="1" x14ac:dyDescent="0.2">
      <c r="A134" s="68"/>
      <c r="B134" s="87"/>
      <c r="C134" s="33"/>
      <c r="D134" s="68"/>
      <c r="E134" s="68"/>
      <c r="F134" s="33"/>
    </row>
    <row r="135" spans="1:11" s="17" customFormat="1" ht="15" customHeight="1" x14ac:dyDescent="0.2">
      <c r="A135" s="68"/>
      <c r="B135" s="87"/>
      <c r="C135" s="33"/>
      <c r="D135" s="68"/>
      <c r="E135" s="68"/>
      <c r="F135" s="33"/>
    </row>
    <row r="136" spans="1:11" s="17" customFormat="1" ht="15" customHeight="1" x14ac:dyDescent="0.2">
      <c r="A136" s="68"/>
      <c r="B136" s="87"/>
      <c r="C136" s="33"/>
      <c r="D136" s="68"/>
      <c r="E136" s="68"/>
      <c r="F136" s="33"/>
    </row>
    <row r="137" spans="1:11" s="17" customFormat="1" ht="15" customHeight="1" x14ac:dyDescent="0.2">
      <c r="A137" s="68"/>
      <c r="B137" s="87"/>
      <c r="C137" s="33"/>
      <c r="D137" s="68"/>
      <c r="E137" s="68"/>
      <c r="F137" s="33"/>
    </row>
    <row r="138" spans="1:11" s="17" customFormat="1" ht="15" customHeight="1" x14ac:dyDescent="0.2">
      <c r="A138" s="68"/>
      <c r="B138" s="87"/>
      <c r="C138" s="33"/>
      <c r="D138" s="68"/>
      <c r="E138" s="68"/>
      <c r="F138" s="33"/>
    </row>
    <row r="139" spans="1:11" s="17" customFormat="1" ht="15" customHeight="1" x14ac:dyDescent="0.2">
      <c r="A139" s="68"/>
      <c r="B139" s="87"/>
      <c r="C139" s="33"/>
      <c r="D139" s="68"/>
      <c r="E139" s="68"/>
      <c r="F139" s="33"/>
    </row>
    <row r="140" spans="1:11" s="17" customFormat="1" ht="15" customHeight="1" x14ac:dyDescent="0.2">
      <c r="A140" s="68"/>
      <c r="B140" s="87"/>
      <c r="C140" s="33"/>
      <c r="D140" s="68"/>
      <c r="E140" s="68"/>
      <c r="F140" s="33"/>
      <c r="H140" s="14"/>
      <c r="I140" s="14"/>
      <c r="J140" s="14"/>
      <c r="K140" s="14"/>
    </row>
    <row r="141" spans="1:11" s="14" customFormat="1" ht="15" customHeight="1" x14ac:dyDescent="0.2">
      <c r="A141" s="68"/>
      <c r="B141" s="87"/>
      <c r="C141" s="32"/>
      <c r="D141" s="68"/>
      <c r="E141" s="68"/>
      <c r="F141" s="32"/>
    </row>
    <row r="142" spans="1:11" s="14" customFormat="1" ht="15" customHeight="1" x14ac:dyDescent="0.2">
      <c r="A142" s="68"/>
      <c r="B142" s="87"/>
      <c r="C142" s="32"/>
      <c r="D142" s="68"/>
      <c r="E142" s="68"/>
      <c r="F142" s="32"/>
    </row>
    <row r="143" spans="1:11" s="14" customFormat="1" ht="15" customHeight="1" x14ac:dyDescent="0.2">
      <c r="A143" s="68"/>
      <c r="B143" s="87"/>
      <c r="C143" s="32"/>
      <c r="D143" s="68"/>
      <c r="E143" s="68"/>
      <c r="F143" s="32"/>
    </row>
    <row r="144" spans="1:11" s="14" customFormat="1" ht="15" customHeight="1" x14ac:dyDescent="0.2">
      <c r="A144" s="68"/>
      <c r="B144" s="87"/>
      <c r="C144" s="32"/>
      <c r="D144" s="68"/>
      <c r="E144" s="68"/>
      <c r="F144" s="32"/>
    </row>
    <row r="145" spans="1:11" s="14" customFormat="1" ht="15" customHeight="1" x14ac:dyDescent="0.2">
      <c r="A145" s="68"/>
      <c r="B145" s="87"/>
      <c r="C145" s="32"/>
      <c r="D145" s="68"/>
      <c r="E145" s="68"/>
      <c r="F145" s="32"/>
    </row>
    <row r="146" spans="1:11" s="14" customFormat="1" ht="15" customHeight="1" x14ac:dyDescent="0.2">
      <c r="A146" s="68"/>
      <c r="B146" s="87"/>
      <c r="C146" s="32"/>
      <c r="D146" s="68"/>
      <c r="E146" s="68"/>
      <c r="F146" s="32"/>
    </row>
    <row r="147" spans="1:11" s="14" customFormat="1" ht="15" customHeight="1" x14ac:dyDescent="0.2">
      <c r="A147" s="68"/>
      <c r="B147" s="87"/>
      <c r="C147" s="32"/>
      <c r="D147" s="68"/>
      <c r="E147" s="68"/>
      <c r="F147" s="32"/>
    </row>
    <row r="148" spans="1:11" s="14" customFormat="1" ht="15" customHeight="1" x14ac:dyDescent="0.2">
      <c r="A148" s="68"/>
      <c r="B148" s="87"/>
      <c r="C148" s="32"/>
      <c r="D148" s="68"/>
      <c r="E148" s="68"/>
      <c r="F148" s="32"/>
      <c r="H148" s="41"/>
      <c r="I148" s="41"/>
      <c r="J148" s="41"/>
      <c r="K148" s="41"/>
    </row>
    <row r="149" spans="1:11" s="41" customFormat="1" ht="15" customHeight="1" x14ac:dyDescent="0.2">
      <c r="A149" s="68"/>
      <c r="B149" s="87"/>
      <c r="D149" s="68"/>
      <c r="E149" s="68"/>
      <c r="H149" s="68"/>
      <c r="I149" s="68"/>
      <c r="J149" s="68"/>
      <c r="K149" s="68"/>
    </row>
  </sheetData>
  <sheetProtection algorithmName="SHA-512" hashValue="KLV0haBZwCizf5Rd8XwRg/WixBNDsTaRZNHnbSSd6LyTPV7k+3Bn4mI5pAhMH/DglngKhhGYJpBJyX2oiYLUoQ==" saltValue="rAimcpyIu8RKZPxMbYYDvQ==" spinCount="100000" sheet="1" objects="1" scenarios="1"/>
  <mergeCells count="1">
    <mergeCell ref="A2:B2"/>
  </mergeCells>
  <phoneticPr fontId="11" type="noConversion"/>
  <dataValidations count="1">
    <dataValidation allowBlank="1" showInputMessage="1" showErrorMessage="1" prompt="Accrued interest is the interest that has built up since the last payment was made on loans entered in the loan entry page." sqref="B22" xr:uid="{00000000-0002-0000-0400-000000000000}"/>
  </dataValidations>
  <pageMargins left="0.75" right="0.75" top="1" bottom="1" header="0.5" footer="0.5"/>
  <pageSetup orientation="portrait" horizontalDpi="4294967293" verticalDpi="1200" r:id="rId1"/>
  <headerFooter alignWithMargins="0"/>
  <rowBreaks count="1" manualBreakCount="1">
    <brk id="8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8CC052"/>
  </sheetPr>
  <dimension ref="A1:AI76"/>
  <sheetViews>
    <sheetView showGridLines="0" workbookViewId="0"/>
  </sheetViews>
  <sheetFormatPr defaultColWidth="9.140625" defaultRowHeight="24.95" customHeight="1" x14ac:dyDescent="0.2"/>
  <cols>
    <col min="1" max="1" width="2.5703125" style="427" customWidth="1"/>
    <col min="2" max="2" width="34.5703125" style="91" customWidth="1"/>
    <col min="3" max="3" width="22.7109375" style="91" customWidth="1"/>
    <col min="4" max="4" width="12.5703125" style="91" customWidth="1"/>
    <col min="5" max="5" width="9.28515625" style="91" customWidth="1"/>
    <col min="6" max="6" width="12.85546875" style="91" customWidth="1"/>
    <col min="7" max="8" width="7.42578125" style="91" customWidth="1"/>
    <col min="9" max="9" width="6.85546875" style="91" customWidth="1"/>
    <col min="10" max="10" width="9.28515625" style="91" customWidth="1"/>
    <col min="11" max="12" width="9.28515625" style="91" hidden="1" customWidth="1"/>
    <col min="13" max="13" width="11.42578125" style="91" customWidth="1"/>
    <col min="14" max="14" width="11.42578125" style="91" hidden="1" customWidth="1"/>
    <col min="15" max="16" width="8.85546875" style="91" hidden="1" customWidth="1"/>
    <col min="17" max="19" width="6.28515625" style="91" hidden="1" customWidth="1"/>
    <col min="20" max="21" width="6" style="91" hidden="1" customWidth="1"/>
    <col min="22" max="22" width="12.42578125" style="91" hidden="1" customWidth="1"/>
    <col min="23" max="27" width="9" style="91" hidden="1" customWidth="1"/>
    <col min="28" max="28" width="39.7109375" style="91" hidden="1" customWidth="1"/>
    <col min="29" max="29" width="12.7109375" style="91" customWidth="1"/>
    <col min="30" max="30" width="12.140625" style="91" customWidth="1"/>
    <col min="31" max="31" width="12.7109375" style="91" customWidth="1"/>
    <col min="32" max="32" width="9.140625" style="595"/>
    <col min="33" max="33" width="9.140625" style="598"/>
    <col min="34" max="34" width="11.28515625" style="595" bestFit="1" customWidth="1"/>
    <col min="35" max="35" width="12" style="595" bestFit="1" customWidth="1"/>
    <col min="36" max="16384" width="9.140625" style="91"/>
  </cols>
  <sheetData>
    <row r="1" spans="1:35" ht="24.95" customHeight="1" x14ac:dyDescent="0.2">
      <c r="B1" s="88" t="s">
        <v>109</v>
      </c>
      <c r="C1" s="89"/>
      <c r="D1" s="89"/>
      <c r="E1" s="89"/>
      <c r="F1" s="90"/>
      <c r="G1" s="90"/>
      <c r="H1" s="90"/>
      <c r="I1" s="90"/>
      <c r="J1" s="90"/>
      <c r="K1" s="90"/>
      <c r="L1" s="90"/>
      <c r="AC1" s="1270" t="s">
        <v>107</v>
      </c>
      <c r="AD1" s="1271">
        <f>AD19+AD27+AD35+AD43+AD51+AD59</f>
        <v>0</v>
      </c>
      <c r="AH1" s="611">
        <f>AH19+AH27+AH35+AH43+AH51+AH59+AH67+AH75</f>
        <v>0</v>
      </c>
      <c r="AI1" s="611"/>
    </row>
    <row r="2" spans="1:35" ht="48.4" customHeight="1" x14ac:dyDescent="0.2">
      <c r="B2" s="15"/>
      <c r="C2" s="89"/>
      <c r="D2" s="89"/>
      <c r="E2" s="89"/>
      <c r="F2" s="90"/>
      <c r="G2" s="90"/>
      <c r="H2" s="90"/>
      <c r="I2" s="90"/>
      <c r="J2" s="90"/>
      <c r="K2" s="90"/>
      <c r="L2" s="90"/>
      <c r="AC2" s="1270"/>
      <c r="AD2" s="1271"/>
      <c r="AH2" s="611"/>
      <c r="AI2" s="611"/>
    </row>
    <row r="3" spans="1:35" s="93" customFormat="1" ht="24.95" customHeight="1" x14ac:dyDescent="0.2">
      <c r="A3" s="428"/>
      <c r="B3" s="1272" t="s">
        <v>207</v>
      </c>
      <c r="C3" s="1272"/>
      <c r="D3" s="1272"/>
      <c r="E3" s="1272"/>
      <c r="F3" s="1272"/>
      <c r="G3" s="92"/>
      <c r="H3" s="92"/>
      <c r="I3" s="92"/>
      <c r="J3" s="92"/>
      <c r="K3" s="92"/>
      <c r="L3" s="92"/>
      <c r="Z3" s="604">
        <f>SUM(Z55:Z58,Z47:Z50,Z39:Z42,Z31:Z34,Z23:Z26,Z15:Z18,Z5:Z10)</f>
        <v>0</v>
      </c>
      <c r="AA3" s="94">
        <f>SUM(AA55:AA58,AA47:AA50,AA39:AA42,AA31:AA34,AA23:AA26,AA15:AA18,AA5:AA10)</f>
        <v>0</v>
      </c>
      <c r="AC3" s="598" t="s">
        <v>415</v>
      </c>
      <c r="AD3" s="597">
        <f>IF(HowSell="direct to processor",SUMIF(D15:D18,"Ag Business",AC15:AC18)+SUMIF(D23:D26,"ag business",AC23:AC26)+SUMIF(D31:D34,"ag business",AC31:AC34)+SUMIF(D39:D42,"ag business",AC39:AC42)+SUMIF(D47:D50,"ag business",AC47:AC50)+SUMIF(D55:D58,"ag business",AC55:AC58),SUM(AC15:AC18,AC23:AC26,AC31:AC34,AC39:AC42,AC47:AC50,AC55:AC58))+SUM(AC63:AC66,AC71:AC74)</f>
        <v>0</v>
      </c>
      <c r="AE3" s="599">
        <f>IF(HowSell="direct to processor",SUMIF(D15:D18,"Ag Business",AF15:AF18)+SUMIF(D23:D26,"ag business",AF23:AF26)+SUMIF(D31:D34,"ag business",AF31:AF34)+SUMIF(D39:D42,"ag business",AF39:AF42)+SUMIF(D47:D50,"ag business",AF47:AF50)+SUMIF(D55:D58,"ag business",AF55:AF58),SUM(AF15:AF18,AF23:AF26,AF31:AF34,AF39:AF42,AF47:AF50,AF55:AF58))+SUM(AF63:AF66,AF71:AF74)+IF(HowSell="Direct to Processor",LoanProjSumAgBusPayment,LoanProjSumAgBusPayment+LoanProjSumDMBusPayment)+LoanProjSumPersPayment+LoanProjSumPersREPayment</f>
        <v>0</v>
      </c>
      <c r="AF3" s="596"/>
      <c r="AG3" s="612"/>
      <c r="AH3" s="613"/>
      <c r="AI3" s="613"/>
    </row>
    <row r="4" spans="1:35" s="93" customFormat="1" ht="24.95" customHeight="1" thickBot="1" x14ac:dyDescent="0.25">
      <c r="A4" s="428"/>
      <c r="B4" s="447" t="s">
        <v>90</v>
      </c>
      <c r="C4" s="448" t="s">
        <v>91</v>
      </c>
      <c r="D4" s="448" t="s">
        <v>172</v>
      </c>
      <c r="E4" s="449" t="s">
        <v>92</v>
      </c>
      <c r="F4" s="449" t="s">
        <v>114</v>
      </c>
      <c r="G4" s="450" t="s">
        <v>96</v>
      </c>
      <c r="H4" s="450" t="s">
        <v>223</v>
      </c>
      <c r="I4" s="450" t="s">
        <v>103</v>
      </c>
      <c r="J4" s="450" t="s">
        <v>113</v>
      </c>
      <c r="K4" s="529"/>
      <c r="L4" s="530"/>
      <c r="M4" s="450" t="s">
        <v>97</v>
      </c>
      <c r="N4" s="529"/>
      <c r="O4" s="527" t="s">
        <v>101</v>
      </c>
      <c r="P4" s="527"/>
      <c r="Q4" s="527" t="s">
        <v>106</v>
      </c>
      <c r="R4" s="527" t="s">
        <v>181</v>
      </c>
      <c r="S4" s="527" t="s">
        <v>421</v>
      </c>
      <c r="T4" s="527" t="s">
        <v>195</v>
      </c>
      <c r="U4" s="527" t="s">
        <v>201</v>
      </c>
      <c r="V4" s="527" t="s">
        <v>179</v>
      </c>
      <c r="W4" s="527" t="s">
        <v>180</v>
      </c>
      <c r="X4" s="527" t="s">
        <v>193</v>
      </c>
      <c r="Y4" s="527" t="s">
        <v>194</v>
      </c>
      <c r="Z4" s="527" t="s">
        <v>418</v>
      </c>
      <c r="AA4" s="527" t="s">
        <v>417</v>
      </c>
      <c r="AB4" s="527" t="s">
        <v>105</v>
      </c>
      <c r="AC4" s="450" t="s">
        <v>206</v>
      </c>
      <c r="AD4" s="450" t="s">
        <v>197</v>
      </c>
      <c r="AE4" s="450" t="s">
        <v>112</v>
      </c>
      <c r="AF4" s="614"/>
      <c r="AG4" s="615"/>
      <c r="AH4" s="616"/>
      <c r="AI4" s="613"/>
    </row>
    <row r="5" spans="1:35" s="93" customFormat="1" ht="24.95" customHeight="1" thickTop="1" x14ac:dyDescent="0.2">
      <c r="A5" s="429">
        <f>IF('Loan Entry'!$M5&gt;0,DATE((G5+1),1,1),"")</f>
        <v>367</v>
      </c>
      <c r="B5" s="302"/>
      <c r="C5" s="303"/>
      <c r="D5" s="303"/>
      <c r="E5" s="854"/>
      <c r="F5" s="304"/>
      <c r="G5" s="455">
        <f t="shared" ref="G5:G10" si="0">IF(D5&lt;&gt;0,Year,)</f>
        <v>0</v>
      </c>
      <c r="H5" s="455" t="str">
        <f t="shared" ref="H5:H10" si="1">IF(G5&lt;&gt;0,G5+1,"")</f>
        <v/>
      </c>
      <c r="I5" s="455" t="str">
        <f t="shared" ref="I5:I10" si="2">IF(G5&gt;0,1,"")</f>
        <v/>
      </c>
      <c r="J5" s="305"/>
      <c r="K5" s="455"/>
      <c r="L5" s="421" t="str">
        <f>IF('Loan Entry'!$J5&gt;0,DATE(G5,INDEX(Inputs!$C$4:$D$15,MATCH(J5,Months,0),2),1),"")</f>
        <v/>
      </c>
      <c r="M5" s="455" t="str">
        <f t="shared" ref="M5:M10" si="3">IF(J5&gt;0,"Annual","")</f>
        <v/>
      </c>
      <c r="N5" s="455" t="e">
        <f t="shared" ref="N5:N10" si="4">IF(M5&lt;&gt;0,IF(AND(K5="yes",M5="Monthly")=TRUE,CHOOSE(R5,"January","February","March","April","May","June","July","August","September","October","November","December"),RIGHT(AB5,3)),"")</f>
        <v>#N/A</v>
      </c>
      <c r="O5" s="418" t="e">
        <f>IF('Loan Entry'!$M5&gt;0,'Loan Entry'!$I5*'Loan Entry'!$Q5,"")</f>
        <v>#VALUE!</v>
      </c>
      <c r="P5" s="418"/>
      <c r="Q5" s="418">
        <f t="shared" ref="Q5:Q10" si="5">IF(M5&gt;0,IF(M5="Monthly",12,IF(M5="Quarterly",4,IF(M5="Semi-Annual",2,1))),"")</f>
        <v>1</v>
      </c>
      <c r="R5" s="531" t="e">
        <f t="shared" ref="R5:R10" si="6">IF(M5&gt;0,IF(M5="Annual",1,(YEARFRAC(L5,A5,))*12),"")</f>
        <v>#VALUE!</v>
      </c>
      <c r="S5" s="531" t="e">
        <f>IF(M5&gt;0,INDEX(Inputs!$J$26:$K$37,MATCH('Loan Entry'!N5,Inputs!$J$26:$J$37,0),2)/12,0)</f>
        <v>#N/A</v>
      </c>
      <c r="T5" s="531">
        <f t="shared" ref="T5:T10" si="7">ROUNDUP(IF(M5="Monthly",12*(R5/Q5),IF(M5="Quarterly",((R5/12)*Q5),IF(M5="Semi-Annual",IF(((R5/12)*Q5)&gt;1,2,1),1))),0)</f>
        <v>1</v>
      </c>
      <c r="U5" s="418">
        <f t="shared" ref="U5:U10" si="8">IF(M5&gt;0,T5/Q5,"")</f>
        <v>1</v>
      </c>
      <c r="V5" s="532" t="e">
        <f>IF('Loan Entry'!$M5&gt;0,IF(U5=1,X5/T5,(X5/T5)),"")</f>
        <v>#VALUE!</v>
      </c>
      <c r="W5" s="532">
        <f>IF('Loan Entry'!$M5&gt;0,IF(U5=1,Y5/T5,U5*(Y5/T5)),"")</f>
        <v>0</v>
      </c>
      <c r="X5" s="532" t="str">
        <f>IF(E5&gt;0,IF('Loan Entry'!$M5&lt;&gt;0,CUMPRINC(E5/Q5,O5,F5,1,T5,0)*-1,),'Loan Entry'!$AC5)</f>
        <v/>
      </c>
      <c r="Y5" s="532">
        <f>IF(J5&gt;0,IF(E5&gt;0,IF('Loan Entry'!$M5&lt;&gt;0,CUMIPMT((E5/Q5),(O5),AE5,1,T5,0)*-1,),0)*S5,0)</f>
        <v>0</v>
      </c>
      <c r="Z5" s="532">
        <f>IF(J5&gt;0,IF(E5&gt;0,IF('Loan Entry'!$M5&lt;&gt;0,CUMIPMT((E5/Q5),(O5),AE5,1,T5,0)*-1,),0)*S5,0)</f>
        <v>0</v>
      </c>
      <c r="AA5" s="532"/>
      <c r="AB5" s="532" t="e">
        <f>IF(M5&lt;&gt;0,IF(M5="annual",INDEX(Inputs!$C$4:$E$15,MATCH('Loan Entry'!J5,Months,0),3),IF(M5="semi-annual",IF(T5=2,CONCATENATE(INDEX(Inputs!$C$4:$E$15,MATCH('Loan Entry'!J5,Months,0),3),",",INDEX(Inputs!$C$4:$E$15,MATCH(MONTH(L5+190),Inputs!$D$4:$D$15,0),3)),INDEX(Inputs!$C$4:$E$15,MATCH('Loan Entry'!J5,Months,0),3)),IF(M5="Quarterly",IF(T5=4,CONCATENATE(INDEX(Inputs!$C$4:$E$15,MATCH('Loan Entry'!J5,Months,0),3),",",INDEX(Inputs!$C$4:$E$15,MATCH(MONTH(L5+95),Inputs!$D$4:$D$15,0),3),",",INDEX(Inputs!$C$4:$E$15,MATCH(MONTH(L5+190),Inputs!$D$4:$D$15,0),3),",",INDEX(Inputs!$C$4:$E$15,MATCH(MONTH(L5+275),Inputs!$D$4:$D$15,0),3)),IF(T5=3,CONCATENATE(INDEX(Inputs!$C$4:$E$15,MATCH('Loan Entry'!J5,Months,0),3),",",INDEX(Inputs!$C$4:$E$15,MATCH(MONTH(L5+95),Inputs!$D$4:$D$15,0),3),",",INDEX(Inputs!$C$4:$E$15,MATCH(MONTH(L5+190),Inputs!$D$4:$D$15,0),3)),IF(T5=2,CONCATENATE(INDEX(Inputs!$C$4:$E$15,MATCH('Loan Entry'!J5,Months,0),3),",",INDEX(Inputs!$C$4:$E$15,MATCH(MONTH(L5+95),Inputs!$D$4:$D$15,0),3)),INDEX(Inputs!$C$4:$E$15,MATCH('Loan Entry'!J5,Months,0),3)))),INDEX(Inputs!$C$4:$F$15,MATCH('Loan Entry'!J5,Months,0),4)))),0)</f>
        <v>#N/A</v>
      </c>
      <c r="AC5" s="839" t="str">
        <f>IF(F5&lt;&gt;0,Z5,"")</f>
        <v/>
      </c>
      <c r="AD5" s="839" t="str">
        <f t="shared" ref="AD5:AD10" si="9">IF(F5&lt;&gt;0,PMT(E5,1,F5*-1),"")</f>
        <v/>
      </c>
      <c r="AE5" s="261" t="str">
        <f>IF('Loan Entry'!$F5&lt;&gt;0,'Loan Entry'!$F5,"")</f>
        <v/>
      </c>
      <c r="AF5" s="614"/>
      <c r="AG5" s="615"/>
      <c r="AH5" s="616"/>
      <c r="AI5" s="613"/>
    </row>
    <row r="6" spans="1:35" s="93" customFormat="1" ht="24.95" customHeight="1" x14ac:dyDescent="0.2">
      <c r="A6" s="428"/>
      <c r="B6" s="306"/>
      <c r="C6" s="307"/>
      <c r="D6" s="307"/>
      <c r="E6" s="855"/>
      <c r="F6" s="308"/>
      <c r="G6" s="456">
        <f t="shared" si="0"/>
        <v>0</v>
      </c>
      <c r="H6" s="456" t="str">
        <f t="shared" si="1"/>
        <v/>
      </c>
      <c r="I6" s="456" t="str">
        <f t="shared" si="2"/>
        <v/>
      </c>
      <c r="J6" s="309"/>
      <c r="K6" s="456"/>
      <c r="L6" s="456" t="str">
        <f>IF('Loan Entry'!$J6&gt;0,DATE(G6,INDEX(Inputs!$C$4:$D$15,MATCH(J6,Months,0),2),1),"")</f>
        <v/>
      </c>
      <c r="M6" s="458" t="str">
        <f t="shared" si="3"/>
        <v/>
      </c>
      <c r="N6" s="528" t="e">
        <f t="shared" si="4"/>
        <v>#N/A</v>
      </c>
      <c r="O6" s="533" t="e">
        <f>IF('Loan Entry'!$M6&gt;0,'Loan Entry'!$I6*'Loan Entry'!$Q6,"")</f>
        <v>#VALUE!</v>
      </c>
      <c r="P6" s="533"/>
      <c r="Q6" s="424">
        <f t="shared" si="5"/>
        <v>1</v>
      </c>
      <c r="R6" s="424" t="e">
        <f t="shared" si="6"/>
        <v>#VALUE!</v>
      </c>
      <c r="S6" s="424" t="e">
        <f>IF(M6&gt;0,INDEX(Inputs!$J$26:$K$37,MATCH('Loan Entry'!N6,Inputs!$J$26:$J$37,0),2)/12,0)</f>
        <v>#N/A</v>
      </c>
      <c r="T6" s="424">
        <f t="shared" si="7"/>
        <v>1</v>
      </c>
      <c r="U6" s="424">
        <f t="shared" si="8"/>
        <v>1</v>
      </c>
      <c r="V6" s="424" t="e">
        <f>IF('Loan Entry'!$M6&gt;0,IF(U6=1,X6/T6,(X6/T6)),"")</f>
        <v>#VALUE!</v>
      </c>
      <c r="W6" s="424">
        <f>IF('Loan Entry'!$M6&gt;0,IF(U6=1,Y6/T6,U6*(Y6/T6)),"")</f>
        <v>0</v>
      </c>
      <c r="X6" s="424" t="str">
        <f>IF(E6&gt;0,IF('Loan Entry'!$M6&lt;&gt;0,CUMPRINC(E6/Q6,O6,F6,1,T6,0)*-1,),'Loan Entry'!$AC6)</f>
        <v/>
      </c>
      <c r="Y6" s="424">
        <f>IF(J6&gt;0,IF(E6&gt;0,IF('Loan Entry'!$M6&lt;&gt;0,CUMIPMT((E6/Q6),(O6),AE6,1,T6,0)*-1,),0)*S6,0)</f>
        <v>0</v>
      </c>
      <c r="Z6" s="424">
        <f>IF(J6&gt;0,IF(E6&gt;0,IF('Loan Entry'!$M6&lt;&gt;0,CUMIPMT((E6/Q6),(O6),AE6,1,T6,0)*-1,),0)*S6,0)</f>
        <v>0</v>
      </c>
      <c r="AA6" s="424"/>
      <c r="AB6" s="424" t="e">
        <f>IF(M6&lt;&gt;0,IF(M6="annual",INDEX(Inputs!$C$4:$E$15,MATCH('Loan Entry'!J6,Months,0),3),IF(M6="semi-annual",IF(T6=2,CONCATENATE(INDEX(Inputs!$C$4:$E$15,MATCH('Loan Entry'!J6,Months,0),3),",",INDEX(Inputs!$C$4:$E$15,MATCH(MONTH(L6+190),Inputs!$D$4:$D$15,0),3)),INDEX(Inputs!$C$4:$E$15,MATCH('Loan Entry'!J6,Months,0),3)),IF(M6="Quarterly",IF(T6=4,CONCATENATE(INDEX(Inputs!$C$4:$E$15,MATCH('Loan Entry'!J6,Months,0),3),",",INDEX(Inputs!$C$4:$E$15,MATCH(MONTH(L6+95),Inputs!$D$4:$D$15,0),3),",",INDEX(Inputs!$C$4:$E$15,MATCH(MONTH(L6+190),Inputs!$D$4:$D$15,0),3),",",INDEX(Inputs!$C$4:$E$15,MATCH(MONTH(L6+275),Inputs!$D$4:$D$15,0),3)),IF(T6=3,CONCATENATE(INDEX(Inputs!$C$4:$E$15,MATCH('Loan Entry'!J6,Months,0),3),",",INDEX(Inputs!$C$4:$E$15,MATCH(MONTH(L6+95),Inputs!$D$4:$D$15,0),3),",",INDEX(Inputs!$C$4:$E$15,MATCH(MONTH(L6+190),Inputs!$D$4:$D$15,0),3)),IF(T6=2,CONCATENATE(INDEX(Inputs!$C$4:$E$15,MATCH('Loan Entry'!J6,Months,0),3),",",INDEX(Inputs!$C$4:$E$15,MATCH(MONTH(L6+95),Inputs!$D$4:$D$15,0),3)),INDEX(Inputs!$C$4:$E$15,MATCH('Loan Entry'!J6,Months,0),3)))),INDEX(Inputs!$C$4:$F$15,MATCH('Loan Entry'!J6,Months,0),4)))),0)</f>
        <v>#N/A</v>
      </c>
      <c r="AC6" s="840" t="str">
        <f t="shared" ref="AC6:AC10" si="10">IF(F6&lt;&gt;0,Z6,"")</f>
        <v/>
      </c>
      <c r="AD6" s="840" t="str">
        <f t="shared" si="9"/>
        <v/>
      </c>
      <c r="AE6" s="262" t="str">
        <f>IF('Loan Entry'!$F6&lt;&gt;0,'Loan Entry'!$F6,"")</f>
        <v/>
      </c>
      <c r="AF6" s="614"/>
      <c r="AG6" s="615"/>
      <c r="AH6" s="616"/>
      <c r="AI6" s="613"/>
    </row>
    <row r="7" spans="1:35" s="93" customFormat="1" ht="24.95" customHeight="1" x14ac:dyDescent="0.2">
      <c r="A7" s="428"/>
      <c r="B7" s="310"/>
      <c r="C7" s="311"/>
      <c r="D7" s="311"/>
      <c r="E7" s="856"/>
      <c r="F7" s="312"/>
      <c r="G7" s="457">
        <f t="shared" si="0"/>
        <v>0</v>
      </c>
      <c r="H7" s="457" t="str">
        <f t="shared" si="1"/>
        <v/>
      </c>
      <c r="I7" s="457" t="str">
        <f t="shared" si="2"/>
        <v/>
      </c>
      <c r="J7" s="313"/>
      <c r="K7" s="457"/>
      <c r="L7" s="457" t="str">
        <f>IF('Loan Entry'!$J7&gt;0,DATE(G7,INDEX(Inputs!$C$4:$D$15,MATCH(J7,Months,0),2),1),"")</f>
        <v/>
      </c>
      <c r="M7" s="458" t="str">
        <f t="shared" si="3"/>
        <v/>
      </c>
      <c r="N7" s="458" t="e">
        <f t="shared" si="4"/>
        <v>#N/A</v>
      </c>
      <c r="O7" s="534" t="e">
        <f>IF('Loan Entry'!$M7&gt;0,'Loan Entry'!$I7*'Loan Entry'!$Q7,"")</f>
        <v>#VALUE!</v>
      </c>
      <c r="P7" s="425"/>
      <c r="Q7" s="425">
        <f t="shared" si="5"/>
        <v>1</v>
      </c>
      <c r="R7" s="425" t="e">
        <f t="shared" si="6"/>
        <v>#VALUE!</v>
      </c>
      <c r="S7" s="425" t="e">
        <f>IF(M7&gt;0,INDEX(Inputs!$J$26:$K$37,MATCH('Loan Entry'!N7,Inputs!$J$26:$J$37,0),2)/12,0)</f>
        <v>#N/A</v>
      </c>
      <c r="T7" s="425">
        <f t="shared" si="7"/>
        <v>1</v>
      </c>
      <c r="U7" s="425">
        <f t="shared" si="8"/>
        <v>1</v>
      </c>
      <c r="V7" s="425" t="e">
        <f>IF('Loan Entry'!$M7&gt;0,IF(U7=1,X7/T7,(X7/T7)),"")</f>
        <v>#VALUE!</v>
      </c>
      <c r="W7" s="425">
        <f>IF('Loan Entry'!$M7&gt;0,IF(U7=1,Y7/T7,U7*(Y7/T7)),"")</f>
        <v>0</v>
      </c>
      <c r="X7" s="425" t="str">
        <f>IF(E7&gt;0,IF('Loan Entry'!$M7&lt;&gt;0,CUMPRINC(E7/Q7,O7,F7,1,T7,0)*-1,),'Loan Entry'!$AC7)</f>
        <v/>
      </c>
      <c r="Y7" s="425">
        <f>IF(J7&gt;0,IF(E7&gt;0,IF('Loan Entry'!$M7&lt;&gt;0,CUMIPMT((E7/Q7),(O7),AE7,1,T7,0)*-1,),0)*S7,0)</f>
        <v>0</v>
      </c>
      <c r="Z7" s="425">
        <f>IF(J7&gt;0,IF(E7&gt;0,IF('Loan Entry'!$M7&lt;&gt;0,CUMIPMT((E7/Q7),(O7),AE7,1,T7,0)*-1,),0)*S7,0)</f>
        <v>0</v>
      </c>
      <c r="AA7" s="425"/>
      <c r="AB7" s="425" t="e">
        <f>IF(M7&lt;&gt;0,IF(M7="annual",INDEX(Inputs!$C$4:$E$15,MATCH('Loan Entry'!J7,Months,0),3),IF(M7="semi-annual",IF(T7=2,CONCATENATE(INDEX(Inputs!$C$4:$E$15,MATCH('Loan Entry'!J7,Months,0),3),",",INDEX(Inputs!$C$4:$E$15,MATCH(MONTH(L7+190),Inputs!$D$4:$D$15,0),3)),INDEX(Inputs!$C$4:$E$15,MATCH('Loan Entry'!J7,Months,0),3)),IF(M7="Quarterly",IF(T7=4,CONCATENATE(INDEX(Inputs!$C$4:$E$15,MATCH('Loan Entry'!J7,Months,0),3),",",INDEX(Inputs!$C$4:$E$15,MATCH(MONTH(L7+95),Inputs!$D$4:$D$15,0),3),",",INDEX(Inputs!$C$4:$E$15,MATCH(MONTH(L7+190),Inputs!$D$4:$D$15,0),3),",",INDEX(Inputs!$C$4:$E$15,MATCH(MONTH(L7+275),Inputs!$D$4:$D$15,0),3)),IF(T7=3,CONCATENATE(INDEX(Inputs!$C$4:$E$15,MATCH('Loan Entry'!J7,Months,0),3),",",INDEX(Inputs!$C$4:$E$15,MATCH(MONTH(L7+95),Inputs!$D$4:$D$15,0),3),",",INDEX(Inputs!$C$4:$E$15,MATCH(MONTH(L7+190),Inputs!$D$4:$D$15,0),3)),IF(T7=2,CONCATENATE(INDEX(Inputs!$C$4:$E$15,MATCH('Loan Entry'!J7,Months,0),3),",",INDEX(Inputs!$C$4:$E$15,MATCH(MONTH(L7+95),Inputs!$D$4:$D$15,0),3)),INDEX(Inputs!$C$4:$E$15,MATCH('Loan Entry'!J7,Months,0),3)))),INDEX(Inputs!$C$4:$F$15,MATCH('Loan Entry'!J7,Months,0),4)))),0)</f>
        <v>#N/A</v>
      </c>
      <c r="AC7" s="841" t="str">
        <f t="shared" si="10"/>
        <v/>
      </c>
      <c r="AD7" s="841" t="str">
        <f t="shared" si="9"/>
        <v/>
      </c>
      <c r="AE7" s="263" t="str">
        <f>IF('Loan Entry'!$F7&lt;&gt;0,'Loan Entry'!$F7,"")</f>
        <v/>
      </c>
      <c r="AF7" s="596"/>
      <c r="AG7" s="610"/>
      <c r="AH7" s="613"/>
      <c r="AI7" s="613"/>
    </row>
    <row r="8" spans="1:35" s="93" customFormat="1" ht="24.95" customHeight="1" x14ac:dyDescent="0.2">
      <c r="A8" s="428"/>
      <c r="B8" s="306"/>
      <c r="C8" s="307"/>
      <c r="D8" s="307"/>
      <c r="E8" s="855"/>
      <c r="F8" s="308"/>
      <c r="G8" s="456">
        <f t="shared" si="0"/>
        <v>0</v>
      </c>
      <c r="H8" s="456" t="str">
        <f t="shared" si="1"/>
        <v/>
      </c>
      <c r="I8" s="456" t="str">
        <f t="shared" si="2"/>
        <v/>
      </c>
      <c r="J8" s="309"/>
      <c r="K8" s="456"/>
      <c r="L8" s="456" t="str">
        <f>IF('Loan Entry'!$J8&gt;0,DATE(G8,INDEX(Inputs!$C$4:$D$15,MATCH(J8,Months,0),2),1),"")</f>
        <v/>
      </c>
      <c r="M8" s="458" t="str">
        <f t="shared" si="3"/>
        <v/>
      </c>
      <c r="N8" s="458" t="e">
        <f t="shared" si="4"/>
        <v>#N/A</v>
      </c>
      <c r="O8" s="535" t="e">
        <f>IF('Loan Entry'!$M8&gt;0,'Loan Entry'!$I8*'Loan Entry'!$Q8,"")</f>
        <v>#VALUE!</v>
      </c>
      <c r="P8" s="424"/>
      <c r="Q8" s="424">
        <f t="shared" si="5"/>
        <v>1</v>
      </c>
      <c r="R8" s="424" t="e">
        <f t="shared" si="6"/>
        <v>#VALUE!</v>
      </c>
      <c r="S8" s="424" t="e">
        <f>IF(M8&gt;0,INDEX(Inputs!$J$26:$K$37,MATCH('Loan Entry'!N8,Inputs!$J$26:$J$37,0),2)/12,0)</f>
        <v>#N/A</v>
      </c>
      <c r="T8" s="424">
        <f t="shared" si="7"/>
        <v>1</v>
      </c>
      <c r="U8" s="424">
        <f t="shared" si="8"/>
        <v>1</v>
      </c>
      <c r="V8" s="424" t="e">
        <f>IF('Loan Entry'!$M8&gt;0,IF(U8=1,X8/T8,(X8/T8)),"")</f>
        <v>#VALUE!</v>
      </c>
      <c r="W8" s="424">
        <f>IF('Loan Entry'!$M8&gt;0,IF(U8=1,Y8/T8,U8*(Y8/T8)),"")</f>
        <v>0</v>
      </c>
      <c r="X8" s="424" t="str">
        <f>IF(E8&gt;0,IF('Loan Entry'!$M8&lt;&gt;0,CUMPRINC(E8/Q8,O8,F8,1,T8,0)*-1,),'Loan Entry'!$AC8)</f>
        <v/>
      </c>
      <c r="Y8" s="424">
        <f>IF(J8&gt;0,IF(E8&gt;0,IF('Loan Entry'!$M8&lt;&gt;0,CUMIPMT((E8/Q8),(O8),AE8,1,T8,0)*-1,),0)*S8,0)</f>
        <v>0</v>
      </c>
      <c r="Z8" s="424">
        <f>IF(J8&gt;0,IF(E8&gt;0,IF('Loan Entry'!$M8&lt;&gt;0,CUMIPMT((E8/Q8),(O8),AE8,1,T8,0)*-1,),0)*S8,0)</f>
        <v>0</v>
      </c>
      <c r="AA8" s="424"/>
      <c r="AB8" s="424" t="e">
        <f>IF(M8&lt;&gt;0,IF(M8="annual",INDEX(Inputs!$C$4:$E$15,MATCH('Loan Entry'!J8,Months,0),3),IF(M8="semi-annual",IF(T8=2,CONCATENATE(INDEX(Inputs!$C$4:$E$15,MATCH('Loan Entry'!J8,Months,0),3),",",INDEX(Inputs!$C$4:$E$15,MATCH(MONTH(L8+190),Inputs!$D$4:$D$15,0),3)),INDEX(Inputs!$C$4:$E$15,MATCH('Loan Entry'!J8,Months,0),3)),IF(M8="Quarterly",IF(T8=4,CONCATENATE(INDEX(Inputs!$C$4:$E$15,MATCH('Loan Entry'!J8,Months,0),3),",",INDEX(Inputs!$C$4:$E$15,MATCH(MONTH(L8+95),Inputs!$D$4:$D$15,0),3),",",INDEX(Inputs!$C$4:$E$15,MATCH(MONTH(L8+190),Inputs!$D$4:$D$15,0),3),",",INDEX(Inputs!$C$4:$E$15,MATCH(MONTH(L8+275),Inputs!$D$4:$D$15,0),3)),IF(T8=3,CONCATENATE(INDEX(Inputs!$C$4:$E$15,MATCH('Loan Entry'!J8,Months,0),3),",",INDEX(Inputs!$C$4:$E$15,MATCH(MONTH(L8+95),Inputs!$D$4:$D$15,0),3),",",INDEX(Inputs!$C$4:$E$15,MATCH(MONTH(L8+190),Inputs!$D$4:$D$15,0),3)),IF(T8=2,CONCATENATE(INDEX(Inputs!$C$4:$E$15,MATCH('Loan Entry'!J8,Months,0),3),",",INDEX(Inputs!$C$4:$E$15,MATCH(MONTH(L8+95),Inputs!$D$4:$D$15,0),3)),INDEX(Inputs!$C$4:$E$15,MATCH('Loan Entry'!J8,Months,0),3)))),INDEX(Inputs!$C$4:$F$15,MATCH('Loan Entry'!J8,Months,0),4)))),0)</f>
        <v>#N/A</v>
      </c>
      <c r="AC8" s="840" t="str">
        <f t="shared" si="10"/>
        <v/>
      </c>
      <c r="AD8" s="840" t="str">
        <f t="shared" si="9"/>
        <v/>
      </c>
      <c r="AE8" s="262" t="str">
        <f>IF('Loan Entry'!$F8&lt;&gt;0,'Loan Entry'!$F8,"")</f>
        <v/>
      </c>
      <c r="AF8" s="596"/>
      <c r="AG8" s="610"/>
      <c r="AH8" s="613"/>
      <c r="AI8" s="613"/>
    </row>
    <row r="9" spans="1:35" ht="24.95" customHeight="1" x14ac:dyDescent="0.2">
      <c r="B9" s="310"/>
      <c r="C9" s="311"/>
      <c r="D9" s="311"/>
      <c r="E9" s="856"/>
      <c r="F9" s="312"/>
      <c r="G9" s="457">
        <f t="shared" si="0"/>
        <v>0</v>
      </c>
      <c r="H9" s="457" t="str">
        <f t="shared" si="1"/>
        <v/>
      </c>
      <c r="I9" s="457" t="str">
        <f t="shared" si="2"/>
        <v/>
      </c>
      <c r="J9" s="313"/>
      <c r="K9" s="457"/>
      <c r="L9" s="458" t="str">
        <f>IF('Loan Entry'!$J9&gt;0,DATE(G9,INDEX(Inputs!$C$4:$D$15,MATCH(J9,Months,0),2),1),"")</f>
        <v/>
      </c>
      <c r="M9" s="459" t="str">
        <f t="shared" si="3"/>
        <v/>
      </c>
      <c r="N9" s="459" t="e">
        <f t="shared" si="4"/>
        <v>#N/A</v>
      </c>
      <c r="O9" s="534" t="e">
        <f>IF('Loan Entry'!$M9&gt;0,'Loan Entry'!$I9*'Loan Entry'!$Q9,"")</f>
        <v>#VALUE!</v>
      </c>
      <c r="P9" s="425"/>
      <c r="Q9" s="425">
        <f t="shared" si="5"/>
        <v>1</v>
      </c>
      <c r="R9" s="425" t="e">
        <f t="shared" si="6"/>
        <v>#VALUE!</v>
      </c>
      <c r="S9" s="425" t="e">
        <f>IF(M9&gt;0,INDEX(Inputs!$J$26:$K$37,MATCH('Loan Entry'!N9,Inputs!$J$26:$J$37,0),2)/12,0)</f>
        <v>#N/A</v>
      </c>
      <c r="T9" s="425">
        <f t="shared" si="7"/>
        <v>1</v>
      </c>
      <c r="U9" s="425">
        <f t="shared" si="8"/>
        <v>1</v>
      </c>
      <c r="V9" s="425" t="e">
        <f>IF('Loan Entry'!$M9&gt;0,IF(U9=1,X9/T9,(X9/T9)),"")</f>
        <v>#VALUE!</v>
      </c>
      <c r="W9" s="425">
        <f>IF('Loan Entry'!$M9&gt;0,IF(U9=1,Y9/T9,U9*(Y9/T9)),"")</f>
        <v>0</v>
      </c>
      <c r="X9" s="425" t="str">
        <f>IF(E9&gt;0,IF('Loan Entry'!$M9&lt;&gt;0,CUMPRINC(E9/Q9,O9,F9,1,T9,0)*-1,),'Loan Entry'!$AC9)</f>
        <v/>
      </c>
      <c r="Y9" s="425">
        <f>IF(J9&gt;0,IF(E9&gt;0,IF('Loan Entry'!$M9&lt;&gt;0,CUMIPMT((E9/Q9),(O9),AE9,1,T9,0)*-1,),0)*S9,0)</f>
        <v>0</v>
      </c>
      <c r="Z9" s="425">
        <f>IF(J9&gt;0,IF(E9&gt;0,IF('Loan Entry'!$M9&lt;&gt;0,CUMIPMT((E9/Q9),(O9),AE9,1,T9,0)*-1,),0)*S9,0)</f>
        <v>0</v>
      </c>
      <c r="AA9" s="425"/>
      <c r="AB9" s="425" t="e">
        <f>IF(M9&lt;&gt;0,IF(M9="annual",INDEX(Inputs!$C$4:$E$15,MATCH('Loan Entry'!J9,Months,0),3),IF(M9="semi-annual",IF(T9=2,CONCATENATE(INDEX(Inputs!$C$4:$E$15,MATCH('Loan Entry'!J9,Months,0),3),",",INDEX(Inputs!$C$4:$E$15,MATCH(MONTH(L9+190),Inputs!$D$4:$D$15,0),3)),INDEX(Inputs!$C$4:$E$15,MATCH('Loan Entry'!J9,Months,0),3)),IF(M9="Quarterly",IF(T9=4,CONCATENATE(INDEX(Inputs!$C$4:$E$15,MATCH('Loan Entry'!J9,Months,0),3),",",INDEX(Inputs!$C$4:$E$15,MATCH(MONTH(L9+95),Inputs!$D$4:$D$15,0),3),",",INDEX(Inputs!$C$4:$E$15,MATCH(MONTH(L9+190),Inputs!$D$4:$D$15,0),3),",",INDEX(Inputs!$C$4:$E$15,MATCH(MONTH(L9+275),Inputs!$D$4:$D$15,0),3)),IF(T9=3,CONCATENATE(INDEX(Inputs!$C$4:$E$15,MATCH('Loan Entry'!J9,Months,0),3),",",INDEX(Inputs!$C$4:$E$15,MATCH(MONTH(L9+95),Inputs!$D$4:$D$15,0),3),",",INDEX(Inputs!$C$4:$E$15,MATCH(MONTH(L9+190),Inputs!$D$4:$D$15,0),3)),IF(T9=2,CONCATENATE(INDEX(Inputs!$C$4:$E$15,MATCH('Loan Entry'!J9,Months,0),3),",",INDEX(Inputs!$C$4:$E$15,MATCH(MONTH(L9+95),Inputs!$D$4:$D$15,0),3)),INDEX(Inputs!$C$4:$E$15,MATCH('Loan Entry'!J9,Months,0),3)))),INDEX(Inputs!$C$4:$F$15,MATCH('Loan Entry'!J9,Months,0),4)))),0)</f>
        <v>#N/A</v>
      </c>
      <c r="AC9" s="841" t="str">
        <f t="shared" si="10"/>
        <v/>
      </c>
      <c r="AD9" s="841" t="str">
        <f t="shared" si="9"/>
        <v/>
      </c>
      <c r="AE9" s="263" t="str">
        <f>IF('Loan Entry'!$F9&lt;&gt;0,'Loan Entry'!$F9,"")</f>
        <v/>
      </c>
      <c r="AH9" s="611"/>
      <c r="AI9" s="611"/>
    </row>
    <row r="10" spans="1:35" ht="24.95" customHeight="1" x14ac:dyDescent="0.2">
      <c r="B10" s="306"/>
      <c r="C10" s="307"/>
      <c r="D10" s="307"/>
      <c r="E10" s="855"/>
      <c r="F10" s="308"/>
      <c r="G10" s="456">
        <f t="shared" si="0"/>
        <v>0</v>
      </c>
      <c r="H10" s="456" t="str">
        <f t="shared" si="1"/>
        <v/>
      </c>
      <c r="I10" s="456" t="str">
        <f t="shared" si="2"/>
        <v/>
      </c>
      <c r="J10" s="309"/>
      <c r="K10" s="456"/>
      <c r="L10" s="456" t="str">
        <f>IF('Loan Entry'!$J10&gt;0,DATE(G10,INDEX(Inputs!$C$4:$D$15,MATCH(J10,Months,0),2),1),"")</f>
        <v/>
      </c>
      <c r="M10" s="460" t="str">
        <f t="shared" si="3"/>
        <v/>
      </c>
      <c r="N10" s="457" t="e">
        <f t="shared" si="4"/>
        <v>#N/A</v>
      </c>
      <c r="O10" s="424" t="e">
        <f>IF('Loan Entry'!$M10&gt;0,'Loan Entry'!$I10*'Loan Entry'!$Q10,"")</f>
        <v>#VALUE!</v>
      </c>
      <c r="P10" s="424"/>
      <c r="Q10" s="424">
        <f t="shared" si="5"/>
        <v>1</v>
      </c>
      <c r="R10" s="424" t="e">
        <f t="shared" si="6"/>
        <v>#VALUE!</v>
      </c>
      <c r="S10" s="424" t="e">
        <f>IF(M10&gt;0,INDEX(Inputs!$J$26:$K$37,MATCH('Loan Entry'!N10,Inputs!$J$26:$J$37,0),2)/12,0)</f>
        <v>#N/A</v>
      </c>
      <c r="T10" s="424">
        <f t="shared" si="7"/>
        <v>1</v>
      </c>
      <c r="U10" s="424">
        <f t="shared" si="8"/>
        <v>1</v>
      </c>
      <c r="V10" s="424" t="e">
        <f>IF('Loan Entry'!$M10&gt;0,IF(U10=1,X10/T10,(X10/T10)),"")</f>
        <v>#VALUE!</v>
      </c>
      <c r="W10" s="424">
        <f>IF('Loan Entry'!$M10&gt;0,IF(U10=1,Y10/T10,U10*(Y10/T10)),"")</f>
        <v>0</v>
      </c>
      <c r="X10" s="424" t="str">
        <f>IF(E10&gt;0,IF('Loan Entry'!$M10&lt;&gt;0,CUMPRINC(E10/Q10,O10,F10,1,T10,0)*-1,),'Loan Entry'!$AC10)</f>
        <v/>
      </c>
      <c r="Y10" s="424">
        <f>IF(J10&gt;0,IF(E10&gt;0,IF('Loan Entry'!$M10&lt;&gt;0,CUMIPMT((E10/Q10),(O10),AE10,1,T10,0)*-1,),0)*S10,0)</f>
        <v>0</v>
      </c>
      <c r="Z10" s="424">
        <f>IF(J10&gt;0,IF(E10&gt;0,IF('Loan Entry'!$M10&lt;&gt;0,CUMIPMT((E10/Q10),(O10),AE10,1,T10,0)*-1,),0)*S10,0)</f>
        <v>0</v>
      </c>
      <c r="AA10" s="424"/>
      <c r="AB10" s="424" t="e">
        <f>IF(M10&lt;&gt;0,IF(M10="annual",INDEX(Inputs!$C$4:$E$15,MATCH('Loan Entry'!J10,Months,0),3),IF(M10="semi-annual",IF(T10=2,CONCATENATE(INDEX(Inputs!$C$4:$E$15,MATCH('Loan Entry'!J10,Months,0),3),",",INDEX(Inputs!$C$4:$E$15,MATCH(MONTH(L10+190),Inputs!$D$4:$D$15,0),3)),INDEX(Inputs!$C$4:$E$15,MATCH('Loan Entry'!J10,Months,0),3)),IF(M10="Quarterly",IF(T10=4,CONCATENATE(INDEX(Inputs!$C$4:$E$15,MATCH('Loan Entry'!J10,Months,0),3),",",INDEX(Inputs!$C$4:$E$15,MATCH(MONTH(L10+95),Inputs!$D$4:$D$15,0),3),",",INDEX(Inputs!$C$4:$E$15,MATCH(MONTH(L10+190),Inputs!$D$4:$D$15,0),3),",",INDEX(Inputs!$C$4:$E$15,MATCH(MONTH(L10+275),Inputs!$D$4:$D$15,0),3)),IF(T10=3,CONCATENATE(INDEX(Inputs!$C$4:$E$15,MATCH('Loan Entry'!J10,Months,0),3),",",INDEX(Inputs!$C$4:$E$15,MATCH(MONTH(L10+95),Inputs!$D$4:$D$15,0),3),",",INDEX(Inputs!$C$4:$E$15,MATCH(MONTH(L10+190),Inputs!$D$4:$D$15,0),3)),IF(T10=2,CONCATENATE(INDEX(Inputs!$C$4:$E$15,MATCH('Loan Entry'!J10,Months,0),3),",",INDEX(Inputs!$C$4:$E$15,MATCH(MONTH(L10+95),Inputs!$D$4:$D$15,0),3)),INDEX(Inputs!$C$4:$E$15,MATCH('Loan Entry'!J10,Months,0),3)))),INDEX(Inputs!$C$4:$F$15,MATCH('Loan Entry'!J10,Months,0),4)))),0)</f>
        <v>#N/A</v>
      </c>
      <c r="AC10" s="840" t="str">
        <f t="shared" si="10"/>
        <v/>
      </c>
      <c r="AD10" s="840" t="str">
        <f t="shared" si="9"/>
        <v/>
      </c>
      <c r="AE10" s="262" t="str">
        <f>IF('Loan Entry'!$F10&lt;&gt;0,'Loan Entry'!$F10,"")</f>
        <v/>
      </c>
      <c r="AH10" s="611"/>
      <c r="AI10" s="611"/>
    </row>
    <row r="11" spans="1:35" ht="24.95" customHeight="1" x14ac:dyDescent="0.2">
      <c r="B11" s="1267" t="str">
        <f>CONCATENATE("Sub-Total ",B3)</f>
        <v>Sub-Total Operating Loans</v>
      </c>
      <c r="C11" s="1267"/>
      <c r="D11" s="1267"/>
      <c r="E11" s="1267"/>
      <c r="F11" s="260">
        <f>SUM('Loan Entry'!$F$5:$F$10)</f>
        <v>0</v>
      </c>
      <c r="G11" s="93"/>
      <c r="H11" s="93"/>
      <c r="I11" s="93"/>
      <c r="J11" s="93"/>
      <c r="K11" s="93"/>
      <c r="L11" s="93"/>
      <c r="M11" s="93" t="s">
        <v>198</v>
      </c>
      <c r="N11" s="93"/>
      <c r="O11" s="93"/>
      <c r="P11" s="93"/>
      <c r="Q11" s="93"/>
      <c r="R11" s="93"/>
      <c r="S11" s="93"/>
      <c r="T11" s="93"/>
      <c r="U11" s="93"/>
      <c r="V11" s="93"/>
      <c r="W11" s="93"/>
      <c r="X11" s="93"/>
      <c r="Y11" s="93"/>
      <c r="Z11" s="93"/>
      <c r="AA11" s="93"/>
      <c r="AB11" s="93"/>
      <c r="AC11" s="851">
        <f>SUM(AC5:AC10)</f>
        <v>0</v>
      </c>
      <c r="AD11" s="93"/>
      <c r="AE11" s="93"/>
      <c r="AH11" s="611"/>
      <c r="AI11" s="611"/>
    </row>
    <row r="12" spans="1:35" ht="24.95" customHeight="1" x14ac:dyDescent="0.2">
      <c r="B12" s="95"/>
      <c r="C12" s="95"/>
      <c r="D12" s="417"/>
      <c r="E12" s="95"/>
      <c r="F12" s="94"/>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H12" s="611"/>
      <c r="AI12" s="611"/>
    </row>
    <row r="13" spans="1:35" s="93" customFormat="1" ht="24.95" customHeight="1" x14ac:dyDescent="0.2">
      <c r="A13" s="428"/>
      <c r="B13" s="1269" t="s">
        <v>250</v>
      </c>
      <c r="C13" s="1269"/>
      <c r="D13" s="1269"/>
      <c r="E13" s="1269"/>
      <c r="F13" s="1269"/>
      <c r="G13" s="1269"/>
      <c r="H13" s="1269"/>
      <c r="I13" s="1269"/>
      <c r="J13" s="1269"/>
      <c r="K13" s="1269"/>
      <c r="L13" s="1269"/>
      <c r="M13" s="1269"/>
      <c r="N13" s="1269"/>
      <c r="O13" s="1269"/>
      <c r="P13" s="1269"/>
      <c r="Q13" s="1269"/>
      <c r="R13" s="1269"/>
      <c r="S13" s="1269"/>
      <c r="T13" s="1269"/>
      <c r="U13" s="1269"/>
      <c r="V13" s="1269"/>
      <c r="W13" s="1269"/>
      <c r="X13" s="1269"/>
      <c r="Y13" s="1269"/>
      <c r="Z13" s="1269"/>
      <c r="AA13" s="1269"/>
      <c r="AB13" s="1269"/>
      <c r="AC13" s="1269"/>
      <c r="AD13" s="1269"/>
      <c r="AE13" s="1269"/>
      <c r="AF13" s="596"/>
      <c r="AG13" s="610"/>
      <c r="AH13" s="613"/>
      <c r="AI13" s="613"/>
    </row>
    <row r="14" spans="1:35" ht="24.95" customHeight="1" thickBot="1" x14ac:dyDescent="0.25">
      <c r="B14" s="451" t="s">
        <v>90</v>
      </c>
      <c r="C14" s="452" t="s">
        <v>91</v>
      </c>
      <c r="D14" s="448" t="s">
        <v>172</v>
      </c>
      <c r="E14" s="453" t="s">
        <v>92</v>
      </c>
      <c r="F14" s="449" t="s">
        <v>114</v>
      </c>
      <c r="G14" s="449" t="s">
        <v>96</v>
      </c>
      <c r="H14" s="449" t="s">
        <v>223</v>
      </c>
      <c r="I14" s="454" t="s">
        <v>103</v>
      </c>
      <c r="J14" s="454" t="s">
        <v>178</v>
      </c>
      <c r="K14" s="526" t="s">
        <v>225</v>
      </c>
      <c r="L14" s="526" t="s">
        <v>228</v>
      </c>
      <c r="M14" s="449" t="s">
        <v>97</v>
      </c>
      <c r="N14" s="527" t="s">
        <v>226</v>
      </c>
      <c r="O14" s="527" t="s">
        <v>227</v>
      </c>
      <c r="P14" s="527" t="s">
        <v>224</v>
      </c>
      <c r="Q14" s="527" t="s">
        <v>106</v>
      </c>
      <c r="R14" s="527" t="s">
        <v>181</v>
      </c>
      <c r="S14" s="527" t="s">
        <v>421</v>
      </c>
      <c r="T14" s="527" t="s">
        <v>195</v>
      </c>
      <c r="U14" s="527" t="s">
        <v>201</v>
      </c>
      <c r="V14" s="527" t="s">
        <v>179</v>
      </c>
      <c r="W14" s="527" t="s">
        <v>180</v>
      </c>
      <c r="X14" s="527" t="s">
        <v>193</v>
      </c>
      <c r="Y14" s="527" t="s">
        <v>194</v>
      </c>
      <c r="Z14" s="527" t="s">
        <v>418</v>
      </c>
      <c r="AA14" s="527" t="s">
        <v>419</v>
      </c>
      <c r="AB14" s="527" t="s">
        <v>105</v>
      </c>
      <c r="AC14" s="454" t="s">
        <v>93</v>
      </c>
      <c r="AD14" s="454" t="s">
        <v>94</v>
      </c>
      <c r="AE14" s="454" t="s">
        <v>95</v>
      </c>
      <c r="AH14" s="611"/>
      <c r="AI14" s="611"/>
    </row>
    <row r="15" spans="1:35" ht="24.95" customHeight="1" thickTop="1" x14ac:dyDescent="0.2">
      <c r="A15" s="429" t="str">
        <f>IF('Loan Entry'!$M15&gt;0,DATE((G15+1),1,1),"")</f>
        <v/>
      </c>
      <c r="B15" s="314"/>
      <c r="C15" s="315"/>
      <c r="D15" s="315"/>
      <c r="E15" s="857"/>
      <c r="F15" s="316"/>
      <c r="G15" s="317"/>
      <c r="H15" s="418" t="str">
        <f>IF(I15&gt;0,ROUNDDOWN(Year+I15,0),"")</f>
        <v/>
      </c>
      <c r="I15" s="317"/>
      <c r="J15" s="317"/>
      <c r="K15" s="418" t="e">
        <f>IF(H15&gt;0,IF(H15-Year=0,"yes","no"),"")</f>
        <v>#VALUE!</v>
      </c>
      <c r="L15" s="421" t="str">
        <f>IF('Loan Entry'!$J15&gt;0,DATE(G15,INDEX(Inputs!$C$4:$D$15,MATCH(J15,Months,0),2),1),"")</f>
        <v/>
      </c>
      <c r="M15" s="317"/>
      <c r="N15" s="418" t="str">
        <f>IF(M15&lt;&gt;0,IF(AND(K15="yes",M15="Monthly")=TRUE,CHOOSE(R15,"January","February","March","April","May","June","July","August","September","October","November","December"),RIGHT(AB15,3)),"")</f>
        <v/>
      </c>
      <c r="O15" s="418" t="str">
        <f>IF('Loan Entry'!$M15&gt;0,'Loan Entry'!$I15*'Loan Entry'!$Q15,"")</f>
        <v/>
      </c>
      <c r="P15" s="418" t="str">
        <f>IF(M15&gt;0,(H15-(G15-1))*IF(M15="Monthly",12,IF(M15="Quarterly",4,IF(M15="Semi-Annual",2,1))),"")</f>
        <v/>
      </c>
      <c r="Q15" s="418" t="str">
        <f>IF(M15&gt;0,IF(M15="Monthly",12,IF(M15="Quarterly",4,IF(M15="Semi-Annual",2,1))),"")</f>
        <v/>
      </c>
      <c r="R15" s="531" t="str">
        <f>IF(M15&gt;0,IF(I15&lt;1,IF(M15="Annual",1,(YEARFRAC(L15,A15,))*IF(M15="Monthly",O15,IF(M15="quarterly",O15*3,IF(M15="semi-annual",O15*2,12)))),IF(M15="Annual",1,(YEARFRAC(L15,A15,))*12)),"")</f>
        <v/>
      </c>
      <c r="S15" s="531">
        <f>IF(M15&gt;0,INDEX(Inputs!$J$26:$K$37,MATCH('Loan Entry'!N15,Inputs!$J$26:$J$37,0),2)/12,0)</f>
        <v>0</v>
      </c>
      <c r="T15" s="531" t="str">
        <f>IF(M15&lt;&gt;0,IF(R15&gt;12,12,ROUNDUP(IF(M15="Monthly",12*(R15/Q15),IF(M15="Quarterly",((R15/12)*Q15),IF(M15="Semi-Annual",IF(((R15/12)*Q15)&gt;1,2,1),1))),0)),"")</f>
        <v/>
      </c>
      <c r="U15" s="536" t="str">
        <f>IF(M15&gt;0,T15/Q15,"")</f>
        <v/>
      </c>
      <c r="V15" s="532" t="str">
        <f>IF('Loan Entry'!$M15&gt;0,IF(U15=1,X15/T15,(X15/T15)),"")</f>
        <v/>
      </c>
      <c r="W15" s="532" t="str">
        <f>IF('Loan Entry'!$M15&gt;0,IF(U15=1,Y15/T15,U15*(Y15/T15)),"")</f>
        <v/>
      </c>
      <c r="X15" s="532" t="str">
        <f>IF(E15&gt;0,IF('Loan Entry'!$M15&lt;&gt;0,CUMPRINC((365/360)*E15/Q15,O15,F15,1,T15,0)*-1,),'Loan Entry'!$AC15)</f>
        <v/>
      </c>
      <c r="Y15" s="532">
        <f>IF(E15&gt;0,IF('Loan Entry'!$M15&lt;&gt;0,CUMIPMT(((365/360)*E15)/Q15,O15,F15,1,T15,0)*-1,),0)</f>
        <v>0</v>
      </c>
      <c r="Z15" s="532">
        <f>IF(ISERROR(S15*IF(E15&gt;0,IF('Loan Entry'!$M15&lt;&gt;0,CUMIPMT(((365/360)*E15)/Q15,O15,F15,1,T15,0)*-1,),0))=FALSE,S15*IF(E15&gt;0,IF('Loan Entry'!$M15&lt;&gt;0,CUMIPMT(((365/360)*E15)/Q15,O15,F15,1,T15,0)*-1,),0),0)</f>
        <v>0</v>
      </c>
      <c r="AA15" s="532">
        <f>IF(ISERROR(S15*IF(E15&gt;0,IF('Loan Entry'!$M15&lt;&gt;0,CUMIPMT(((365/360)*E15)/Q15,O15-T15,F15,1+T15,T15+T15,0)*-1,),0))=FALSE,S15*IF(E15&gt;0,IF('Loan Entry'!$M15&lt;&gt;0,CUMIPMT(((365/360)*E15)/Q15,O15-T15,F15,1+T15,T15+T15,0)*-1,),0),0)</f>
        <v>0</v>
      </c>
      <c r="AB15" s="532" t="str">
        <f>IF(M15&lt;&gt;0,IF(K15="no",IF(M15="annual",INDEX(Inputs!$C$4:$E$15,MATCH('Loan Entry'!J15,Months,0),3),IF(M15="semi-annual",IF(T15=2,CONCATENATE(INDEX(Inputs!$C$4:$E$15,MATCH('Loan Entry'!J15,Months,0),3),",",INDEX(Inputs!$C$4:$E$15,MATCH(MONTH(L15+190),Inputs!$D$4:$D$15,0),3)),INDEX(Inputs!$C$4:$E$15,MATCH('Loan Entry'!J15,Months,0),3)),IF(M15="Quarterly",IF(T15=4,CONCATENATE(INDEX(Inputs!$C$4:$E$15,MATCH('Loan Entry'!J15,Months,0),3),",",INDEX(Inputs!$C$4:$E$15,MATCH(MONTH(L15+95),Inputs!$D$4:$D$15,0),3),",",INDEX(Inputs!$C$4:$E$15,MATCH(MONTH(L15+190),Inputs!$D$4:$D$15,0),3),",",INDEX(Inputs!$C$4:$E$15,MATCH(MONTH(L15+275),Inputs!$D$4:$D$15,0),3)),IF(T15=3,CONCATENATE(INDEX(Inputs!$C$4:$E$15,MATCH('Loan Entry'!J15,Months,0),3),",",INDEX(Inputs!$C$4:$E$15,MATCH(MONTH(L15+95),Inputs!$D$4:$D$15,0),3),",",INDEX(Inputs!$C$4:$E$15,MATCH(MONTH(L15+190),Inputs!$D$4:$D$15,0),3)),IF(T15=2,CONCATENATE(INDEX(Inputs!$C$4:$E$15,MATCH('Loan Entry'!J15,Months,0),3),",",INDEX(Inputs!$C$4:$E$15,MATCH(MONTH(L15+95),Inputs!$D$4:$D$15,0),3)),INDEX(Inputs!$C$4:$E$15,MATCH('Loan Entry'!J15,Months,0),3)))),INDEX(Inputs!$C$4:$F$15,MATCH('Loan Entry'!J15,Months,0),4)))),IF(M15="annual",INDEX(Inputs!$C$4:$E$15,MATCH('Loan Entry'!J15,Months,0),3),IF(M15="semi-annual",IF(T15=2,CONCATENATE(INDEX(Inputs!$C$4:$E$15,MATCH('Loan Entry'!J15,Months,0),3),",",INDEX(Inputs!$C$4:$E$15,MATCH(MONTH(L15+190),Inputs!$D$4:$D$15,0),3)),INDEX(Inputs!$C$4:$E$15,MATCH('Loan Entry'!J15,Months,0),3)),IF(M15="Quarterly",IF(T15=4,CONCATENATE(INDEX(Inputs!$C$4:$E$15,MATCH('Loan Entry'!J15,Months,0),3),",",INDEX(Inputs!$C$4:$E$15,MATCH(MONTH(L15+95),Inputs!$D$4:$D$15,0),3),",",INDEX(Inputs!$C$4:$E$15,MATCH(MONTH(L15+190),Inputs!$D$4:$D$15,0),3),",",INDEX(Inputs!$C$4:$E$15,MATCH(MONTH(L15+275),Inputs!$D$4:$D$15,0),3)),IF(T15=3,CONCATENATE(INDEX(Inputs!$C$4:$E$15,MATCH('Loan Entry'!J15,Months,0),3),",",INDEX(Inputs!$C$4:$E$15,MATCH(MONTH(L15+95),Inputs!$D$4:$D$15,0),3),",",INDEX(Inputs!$C$4:$E$15,MATCH(MONTH(L15+190),Inputs!$D$4:$D$15,0),3)),IF(T15=2,CONCATENATE(INDEX(Inputs!$C$4:$E$15,MATCH('Loan Entry'!J15,Months,0),3),",",INDEX(Inputs!$C$4:$E$15,MATCH(MONTH(L15+95),Inputs!$D$4:$D$15,0),3)),INDEX(Inputs!$C$4:$G$15,MATCH('Loan Entry'!J15,Months,0),3)))),INDEX(Inputs!$C$4:$G$15,MATCH('Loan Entry'!N15,Months,0),5))))),"")</f>
        <v/>
      </c>
      <c r="AC15" s="842" t="str">
        <f>IF('Loan Entry'!$M15&gt;0,PMT((365/360)*'Loan Entry'!$E15/'Loan Entry'!$Q15,'Loan Entry'!$O15,'Loan Entry'!$F15*-1)*MIN('Loan Entry'!$Q15,O15),"")</f>
        <v/>
      </c>
      <c r="AD15" s="843" t="str">
        <f>IF(F15&gt;0,IF('Loan Entry'!$M15&lt;&gt;0,IF(U15=1,X15,IF(E15=0,U15*X15,X15)),'Loan Entry'!$AC15),"")</f>
        <v/>
      </c>
      <c r="AE15" s="848" t="str">
        <f>IF('Loan Entry'!$M15&gt;0,'Loan Entry'!$F15-'Loan Entry'!$AD15,"")</f>
        <v/>
      </c>
      <c r="AF15" s="595" t="str">
        <f>IF(AE15&gt;0,AC15,0)</f>
        <v/>
      </c>
      <c r="AG15" s="617"/>
      <c r="AH15" s="611" t="str">
        <f>IF(AE15&lt;&gt;0,IF(AE15&lt;AD15,AE15,IF(E15&gt;0,IF('Loan Entry'!$M15&lt;&gt;0,CUMPRINC(E15/Q15,(O15-T15),AE15,1,T15,0)*-1,),'Loan Entry'!$AC15)),0)</f>
        <v/>
      </c>
      <c r="AI15" s="611">
        <f>IF(M15&gt;0,AE15-AH15,0)</f>
        <v>0</v>
      </c>
    </row>
    <row r="16" spans="1:35" ht="24.95" customHeight="1" x14ac:dyDescent="0.2">
      <c r="A16" s="429" t="str">
        <f>IF('Loan Entry'!$M16&gt;0,DATE((G16+1),1,1),"")</f>
        <v/>
      </c>
      <c r="B16" s="318"/>
      <c r="C16" s="319"/>
      <c r="D16" s="319"/>
      <c r="E16" s="858"/>
      <c r="F16" s="320"/>
      <c r="G16" s="321"/>
      <c r="H16" s="419" t="str">
        <f>IF(I16&gt;0,ROUNDDOWN(Year+I16,0),"")</f>
        <v/>
      </c>
      <c r="I16" s="321"/>
      <c r="J16" s="321"/>
      <c r="K16" s="419" t="e">
        <f>IF(H16&gt;0,IF(H16-Year=0,"yes","no"),"")</f>
        <v>#VALUE!</v>
      </c>
      <c r="L16" s="422" t="str">
        <f>IF('Loan Entry'!$J16&gt;0,DATE(G16,INDEX(Inputs!$C$4:$D$15,MATCH(J16,Months,0),2),1),"")</f>
        <v/>
      </c>
      <c r="M16" s="321"/>
      <c r="N16" s="419" t="str">
        <f>IF(M16&lt;&gt;0,IF(AND(K16="yes",M16="Monthly")=TRUE,CHOOSE(R16,"January","February","March","April","May","June","July","August","September","October","November","December"),RIGHT(AB16,3)),"")</f>
        <v/>
      </c>
      <c r="O16" s="537" t="str">
        <f>IF('Loan Entry'!$M16&gt;0,'Loan Entry'!$I16*'Loan Entry'!$Q16,"")</f>
        <v/>
      </c>
      <c r="P16" s="537" t="str">
        <f>IF(M16&gt;0,(H16-(G16-1))*IF(M16="Monthly",12,IF(M16="Quarterly",4,IF(M16="Semi-Annual",2,1))),"")</f>
        <v/>
      </c>
      <c r="Q16" s="537" t="str">
        <f>IF(M16&gt;0,IF(M16="Monthly",12,IF(M16="Quarterly",4,IF(M16="Semi-Annual",2,1))),"")</f>
        <v/>
      </c>
      <c r="R16" s="537" t="str">
        <f>IF(M16&gt;0,IF(I16&lt;1,IF(M16="Annual",1,(YEARFRAC(L16,A16,))*IF(M16="Monthly",O16,IF(M16="quarterly",O16*3,IF(M16="semi-annual",O16*2,12)))),IF(M16="Annual",1,(YEARFRAC(L16,A16,))*12)),"")</f>
        <v/>
      </c>
      <c r="S16" s="537">
        <f>IF(M16&gt;0,INDEX(Inputs!$J$26:$K$37,MATCH('Loan Entry'!N16,Inputs!$J$26:$J$37,0),2)/12,0)</f>
        <v>0</v>
      </c>
      <c r="T16" s="537" t="str">
        <f>IF(M16&lt;&gt;0,IF(R16&gt;12,12,ROUNDUP(IF(M16="Monthly",12*(R16/Q16),IF(M16="Quarterly",((R16/12)*Q16),IF(M16="Semi-Annual",IF(((R16/12)*Q16)&gt;1,2,1),1))),0)),"")</f>
        <v/>
      </c>
      <c r="U16" s="537" t="str">
        <f>IF(M16&gt;0,T16/Q16,"")</f>
        <v/>
      </c>
      <c r="V16" s="538" t="str">
        <f>IF('Loan Entry'!$M16&gt;0,IF(U16=1,X16/T16,(X16/T16)),"")</f>
        <v/>
      </c>
      <c r="W16" s="538" t="str">
        <f>IF('Loan Entry'!$M16&gt;0,IF(U16=1,Y16/T16,U16*(Y16/T16)),"")</f>
        <v/>
      </c>
      <c r="X16" s="538" t="str">
        <f>IF(E16&gt;0,IF('Loan Entry'!$M16&lt;&gt;0,CUMPRINC((365/360)*E16/Q16,O16,F16,1,T16,0)*-1,),'Loan Entry'!$AC16)</f>
        <v/>
      </c>
      <c r="Y16" s="538">
        <f>IF(E16&gt;0,IF('Loan Entry'!$M16&lt;&gt;0,CUMIPMT(((365/360)*E16)/Q16,O16,F16,1,T16,0)*-1,),0)</f>
        <v>0</v>
      </c>
      <c r="Z16" s="538">
        <f>IF(ISERROR(S16*IF(E16&gt;0,IF('Loan Entry'!$M16&lt;&gt;0,CUMIPMT(((365/360)*E16)/Q16,O16,F16,1,T16,0)*-1,),0))=FALSE,S16*IF(E16&gt;0,IF('Loan Entry'!$M16&lt;&gt;0,CUMIPMT(((365/360)*E16)/Q16,O16,F16,1,T16,0)*-1,),0),0)</f>
        <v>0</v>
      </c>
      <c r="AA16" s="538">
        <f>IF(ISERROR(S16*IF(E16&gt;0,IF('Loan Entry'!$M16&lt;&gt;0,CUMIPMT(((365/360)*E16)/Q16,O16-T16,F16,1+T16,T16+T16,0)*-1,),0))=FALSE,S16*IF(E16&gt;0,IF('Loan Entry'!$M16&lt;&gt;0,CUMIPMT(((365/360)*E16)/Q16,O16-T16,F16,1+T16,T16+T16,0)*-1,),0),0)</f>
        <v>0</v>
      </c>
      <c r="AB16" s="538" t="str">
        <f>IF(M16&lt;&gt;0,IF(K16="no",IF(M16="annual",INDEX(Inputs!$C$4:$E$15,MATCH('Loan Entry'!J16,Months,0),3),IF(M16="semi-annual",IF(T16=2,CONCATENATE(INDEX(Inputs!$C$4:$E$15,MATCH('Loan Entry'!J16,Months,0),3),",",INDEX(Inputs!$C$4:$E$15,MATCH(MONTH(L16+190),Inputs!$D$4:$D$15,0),3)),INDEX(Inputs!$C$4:$E$15,MATCH('Loan Entry'!J16,Months,0),3)),IF(M16="Quarterly",IF(T16=4,CONCATENATE(INDEX(Inputs!$C$4:$E$15,MATCH('Loan Entry'!J16,Months,0),3),",",INDEX(Inputs!$C$4:$E$15,MATCH(MONTH(L16+95),Inputs!$D$4:$D$15,0),3),",",INDEX(Inputs!$C$4:$E$15,MATCH(MONTH(L16+190),Inputs!$D$4:$D$15,0),3),",",INDEX(Inputs!$C$4:$E$15,MATCH(MONTH(L16+275),Inputs!$D$4:$D$15,0),3)),IF(T16=3,CONCATENATE(INDEX(Inputs!$C$4:$E$15,MATCH('Loan Entry'!J16,Months,0),3),",",INDEX(Inputs!$C$4:$E$15,MATCH(MONTH(L16+95),Inputs!$D$4:$D$15,0),3),",",INDEX(Inputs!$C$4:$E$15,MATCH(MONTH(L16+190),Inputs!$D$4:$D$15,0),3)),IF(T16=2,CONCATENATE(INDEX(Inputs!$C$4:$E$15,MATCH('Loan Entry'!J16,Months,0),3),",",INDEX(Inputs!$C$4:$E$15,MATCH(MONTH(L16+95),Inputs!$D$4:$D$15,0),3)),INDEX(Inputs!$C$4:$E$15,MATCH('Loan Entry'!J16,Months,0),3)))),INDEX(Inputs!$C$4:$F$15,MATCH('Loan Entry'!J16,Months,0),4)))),IF(M16="annual",INDEX(Inputs!$C$4:$E$15,MATCH('Loan Entry'!J16,Months,0),3),IF(M16="semi-annual",IF(T16=2,CONCATENATE(INDEX(Inputs!$C$4:$E$15,MATCH('Loan Entry'!J16,Months,0),3),",",INDEX(Inputs!$C$4:$E$15,MATCH(MONTH(L16+190),Inputs!$D$4:$D$15,0),3)),INDEX(Inputs!$C$4:$E$15,MATCH('Loan Entry'!J16,Months,0),3)),IF(M16="Quarterly",IF(T16=4,CONCATENATE(INDEX(Inputs!$C$4:$E$15,MATCH('Loan Entry'!J16,Months,0),3),",",INDEX(Inputs!$C$4:$E$15,MATCH(MONTH(L16+95),Inputs!$D$4:$D$15,0),3),",",INDEX(Inputs!$C$4:$E$15,MATCH(MONTH(L16+190),Inputs!$D$4:$D$15,0),3),",",INDEX(Inputs!$C$4:$E$15,MATCH(MONTH(L16+275),Inputs!$D$4:$D$15,0),3)),IF(T16=3,CONCATENATE(INDEX(Inputs!$C$4:$E$15,MATCH('Loan Entry'!J16,Months,0),3),",",INDEX(Inputs!$C$4:$E$15,MATCH(MONTH(L16+95),Inputs!$D$4:$D$15,0),3),",",INDEX(Inputs!$C$4:$E$15,MATCH(MONTH(L16+190),Inputs!$D$4:$D$15,0),3)),IF(T16=2,CONCATENATE(INDEX(Inputs!$C$4:$E$15,MATCH('Loan Entry'!J16,Months,0),3),",",INDEX(Inputs!$C$4:$E$15,MATCH(MONTH(L16+95),Inputs!$D$4:$D$15,0),3)),INDEX(Inputs!$C$4:$G$15,MATCH('Loan Entry'!J16,Months,0),3)))),INDEX(Inputs!$C$4:$G$15,MATCH('Loan Entry'!N16,Months,0),5))))),"")</f>
        <v/>
      </c>
      <c r="AC16" s="844" t="str">
        <f>IF('Loan Entry'!$M16&gt;0,PMT((365/360)*'Loan Entry'!$E16/'Loan Entry'!$Q16,'Loan Entry'!$O16,'Loan Entry'!$F16*-1)*MIN('Loan Entry'!$Q16,O16),"")</f>
        <v/>
      </c>
      <c r="AD16" s="845" t="str">
        <f>IF(F16&gt;0,IF('Loan Entry'!$M16&lt;&gt;0,IF(U16=1,X16,IF(E16=0,U16*X16,X16)),'Loan Entry'!$AC16),"")</f>
        <v/>
      </c>
      <c r="AE16" s="849" t="str">
        <f>IF('Loan Entry'!$M16&gt;0,'Loan Entry'!$F16-'Loan Entry'!$AD16,"")</f>
        <v/>
      </c>
      <c r="AF16" s="595" t="str">
        <f>IF(AE16&gt;0,AC16,0)</f>
        <v/>
      </c>
      <c r="AG16" s="617"/>
      <c r="AH16" s="611" t="str">
        <f>IF(AE16&lt;&gt;0,IF(AE16&lt;AD16,AE16,IF(E16&gt;0,IF('Loan Entry'!$M16&lt;&gt;0,CUMPRINC(E16/Q16,(O16-T16),AE16,1,T16,0)*-1,),'Loan Entry'!$AC16)),0)</f>
        <v/>
      </c>
      <c r="AI16" s="611">
        <f>IF(M16&gt;0,AE16-AH16,0)</f>
        <v>0</v>
      </c>
    </row>
    <row r="17" spans="1:35" ht="24.95" customHeight="1" x14ac:dyDescent="0.2">
      <c r="A17" s="429" t="str">
        <f>IF('Loan Entry'!$M17&gt;0,DATE((G17+1),1,1),"")</f>
        <v/>
      </c>
      <c r="B17" s="322"/>
      <c r="C17" s="323"/>
      <c r="D17" s="323"/>
      <c r="E17" s="859"/>
      <c r="F17" s="324"/>
      <c r="G17" s="325"/>
      <c r="H17" s="420" t="str">
        <f>IF(I17&gt;0,ROUNDDOWN(Year+I17,0),"")</f>
        <v/>
      </c>
      <c r="I17" s="325"/>
      <c r="J17" s="325"/>
      <c r="K17" s="420" t="e">
        <f>IF(H17&gt;0,IF(H17-Year=0,"yes","no"),"")</f>
        <v>#VALUE!</v>
      </c>
      <c r="L17" s="423" t="str">
        <f>IF('Loan Entry'!$J17&gt;0,DATE(G17,INDEX(Inputs!$C$4:$D$15,MATCH(J17,Months,0),2),1),"")</f>
        <v/>
      </c>
      <c r="M17" s="325"/>
      <c r="N17" s="420" t="str">
        <f>IF(M17&lt;&gt;0,IF(AND(K17="yes",M17="Monthly")=TRUE,CHOOSE(R17,"January","February","March","April","May","June","July","August","September","October","November","December"),RIGHT(AB17,3)),"")</f>
        <v/>
      </c>
      <c r="O17" s="539" t="str">
        <f>IF('Loan Entry'!$M17&gt;0,'Loan Entry'!$I17*'Loan Entry'!$Q17,"")</f>
        <v/>
      </c>
      <c r="P17" s="539" t="str">
        <f>IF(M17&gt;0,(H17-(G17-1))*IF(M17="Monthly",12,IF(M17="Quarterly",4,IF(M17="Semi-Annual",2,1))),"")</f>
        <v/>
      </c>
      <c r="Q17" s="539" t="str">
        <f>IF(M17&gt;0,IF(M17="Monthly",12,IF(M17="Quarterly",4,IF(M17="Semi-Annual",2,1))),"")</f>
        <v/>
      </c>
      <c r="R17" s="539" t="str">
        <f>IF(M17&gt;0,IF(I17&lt;1,IF(M17="Annual",1,(YEARFRAC(L17,A17,))*IF(M17="Monthly",O17,IF(M17="quarterly",O17*3,IF(M17="semi-annual",O17*2,12)))),IF(M17="Annual",1,(YEARFRAC(L17,A17,))*12)),"")</f>
        <v/>
      </c>
      <c r="S17" s="539">
        <f>IF(M17&gt;0,INDEX(Inputs!$J$26:$K$37,MATCH('Loan Entry'!N17,Inputs!$J$26:$J$37,0),2)/12,0)</f>
        <v>0</v>
      </c>
      <c r="T17" s="539" t="str">
        <f>IF(M17&lt;&gt;0,IF(R17&gt;12,12,ROUNDUP(IF(M17="Monthly",12*(R17/Q17),IF(M17="Quarterly",((R17/12)*Q17),IF(M17="Semi-Annual",IF(((R17/12)*Q17)&gt;1,2,1),1))),0)),"")</f>
        <v/>
      </c>
      <c r="U17" s="539" t="str">
        <f>IF(M17&gt;0,T17/Q17,"")</f>
        <v/>
      </c>
      <c r="V17" s="540" t="str">
        <f>IF('Loan Entry'!$M17&gt;0,IF(U17=1,X17/T17,(X17/T17)),"")</f>
        <v/>
      </c>
      <c r="W17" s="540" t="str">
        <f>IF('Loan Entry'!$M17&gt;0,IF(U17=1,Y17/T17,U17*(Y17/T17)),"")</f>
        <v/>
      </c>
      <c r="X17" s="540" t="str">
        <f>IF(E17&gt;0,IF('Loan Entry'!$M17&lt;&gt;0,CUMPRINC((365/360)*E17/Q17,O17,F17,1,T17,0)*-1,),'Loan Entry'!$AC17)</f>
        <v/>
      </c>
      <c r="Y17" s="540">
        <f>IF(E17&gt;0,IF('Loan Entry'!$M17&lt;&gt;0,CUMIPMT(((365/360)*E17)/Q17,O17,F17,1,T17,0)*-1,),0)</f>
        <v>0</v>
      </c>
      <c r="Z17" s="540">
        <f>IF(ISERROR(S17*IF(E17&gt;0,IF('Loan Entry'!$M17&lt;&gt;0,CUMIPMT(((365/360)*E17)/Q17,O17,F17,1,T17,0)*-1,),0))=FALSE,S17*IF(E17&gt;0,IF('Loan Entry'!$M17&lt;&gt;0,CUMIPMT(((365/360)*E17)/Q17,O17,F17,1,T17,0)*-1,),0),0)</f>
        <v>0</v>
      </c>
      <c r="AA17" s="540">
        <f>IF(ISERROR(S17*IF(E17&gt;0,IF('Loan Entry'!$M17&lt;&gt;0,CUMIPMT(((365/360)*E17)/Q17,O17-T17,F17,1+T17,T17+T17,0)*-1,),0))=FALSE,S17*IF(E17&gt;0,IF('Loan Entry'!$M17&lt;&gt;0,CUMIPMT(((365/360)*E17)/Q17,O17-T17,F17,1+T17,T17+T17,0)*-1,),0),0)</f>
        <v>0</v>
      </c>
      <c r="AB17" s="540" t="str">
        <f>IF(M17&lt;&gt;0,IF(K17="no",IF(M17="annual",INDEX(Inputs!$C$4:$E$15,MATCH('Loan Entry'!J17,Months,0),3),IF(M17="semi-annual",IF(T17=2,CONCATENATE(INDEX(Inputs!$C$4:$E$15,MATCH('Loan Entry'!J17,Months,0),3),",",INDEX(Inputs!$C$4:$E$15,MATCH(MONTH(L17+190),Inputs!$D$4:$D$15,0),3)),INDEX(Inputs!$C$4:$E$15,MATCH('Loan Entry'!J17,Months,0),3)),IF(M17="Quarterly",IF(T17=4,CONCATENATE(INDEX(Inputs!$C$4:$E$15,MATCH('Loan Entry'!J17,Months,0),3),",",INDEX(Inputs!$C$4:$E$15,MATCH(MONTH(L17+95),Inputs!$D$4:$D$15,0),3),",",INDEX(Inputs!$C$4:$E$15,MATCH(MONTH(L17+190),Inputs!$D$4:$D$15,0),3),",",INDEX(Inputs!$C$4:$E$15,MATCH(MONTH(L17+275),Inputs!$D$4:$D$15,0),3)),IF(T17=3,CONCATENATE(INDEX(Inputs!$C$4:$E$15,MATCH('Loan Entry'!J17,Months,0),3),",",INDEX(Inputs!$C$4:$E$15,MATCH(MONTH(L17+95),Inputs!$D$4:$D$15,0),3),",",INDEX(Inputs!$C$4:$E$15,MATCH(MONTH(L17+190),Inputs!$D$4:$D$15,0),3)),IF(T17=2,CONCATENATE(INDEX(Inputs!$C$4:$E$15,MATCH('Loan Entry'!J17,Months,0),3),",",INDEX(Inputs!$C$4:$E$15,MATCH(MONTH(L17+95),Inputs!$D$4:$D$15,0),3)),INDEX(Inputs!$C$4:$E$15,MATCH('Loan Entry'!J17,Months,0),3)))),INDEX(Inputs!$C$4:$F$15,MATCH('Loan Entry'!J17,Months,0),4)))),IF(M17="annual",INDEX(Inputs!$C$4:$E$15,MATCH('Loan Entry'!J17,Months,0),3),IF(M17="semi-annual",IF(T17=2,CONCATENATE(INDEX(Inputs!$C$4:$E$15,MATCH('Loan Entry'!J17,Months,0),3),",",INDEX(Inputs!$C$4:$E$15,MATCH(MONTH(L17+190),Inputs!$D$4:$D$15,0),3)),INDEX(Inputs!$C$4:$E$15,MATCH('Loan Entry'!J17,Months,0),3)),IF(M17="Quarterly",IF(T17=4,CONCATENATE(INDEX(Inputs!$C$4:$E$15,MATCH('Loan Entry'!J17,Months,0),3),",",INDEX(Inputs!$C$4:$E$15,MATCH(MONTH(L17+95),Inputs!$D$4:$D$15,0),3),",",INDEX(Inputs!$C$4:$E$15,MATCH(MONTH(L17+190),Inputs!$D$4:$D$15,0),3),",",INDEX(Inputs!$C$4:$E$15,MATCH(MONTH(L17+275),Inputs!$D$4:$D$15,0),3)),IF(T17=3,CONCATENATE(INDEX(Inputs!$C$4:$E$15,MATCH('Loan Entry'!J17,Months,0),3),",",INDEX(Inputs!$C$4:$E$15,MATCH(MONTH(L17+95),Inputs!$D$4:$D$15,0),3),",",INDEX(Inputs!$C$4:$E$15,MATCH(MONTH(L17+190),Inputs!$D$4:$D$15,0),3)),IF(T17=2,CONCATENATE(INDEX(Inputs!$C$4:$E$15,MATCH('Loan Entry'!J17,Months,0),3),",",INDEX(Inputs!$C$4:$E$15,MATCH(MONTH(L17+95),Inputs!$D$4:$D$15,0),3)),INDEX(Inputs!$C$4:$G$15,MATCH('Loan Entry'!J17,Months,0),3)))),INDEX(Inputs!$C$4:$G$15,MATCH('Loan Entry'!N17,Months,0),5))))),"")</f>
        <v/>
      </c>
      <c r="AC17" s="846" t="str">
        <f>IF('Loan Entry'!$M17&gt;0,PMT((365/360)*'Loan Entry'!$E17/'Loan Entry'!$Q17,'Loan Entry'!$O17,'Loan Entry'!$F17*-1)*MIN('Loan Entry'!$Q17,O17),"")</f>
        <v/>
      </c>
      <c r="AD17" s="847" t="str">
        <f>IF(F17&gt;0,IF('Loan Entry'!$M17&lt;&gt;0,IF(U17=1,X17,IF(E17=0,U17*X17,X17)),'Loan Entry'!$AC17),"")</f>
        <v/>
      </c>
      <c r="AE17" s="850" t="str">
        <f>IF('Loan Entry'!$M17&gt;0,'Loan Entry'!$F17-'Loan Entry'!$AD17,"")</f>
        <v/>
      </c>
      <c r="AF17" s="595" t="str">
        <f>IF(AE17&gt;0,AC17,0)</f>
        <v/>
      </c>
      <c r="AG17" s="617"/>
      <c r="AH17" s="611" t="str">
        <f>IF(AE17&lt;&gt;0,IF(AE17&lt;AD17,AE17,IF(E17&gt;0,IF('Loan Entry'!$M17&lt;&gt;0,CUMPRINC(E17/Q17,(O17-T17),AE17,1,T17,0)*-1,),'Loan Entry'!$AC17)),0)</f>
        <v/>
      </c>
      <c r="AI17" s="611">
        <f>IF(M17&gt;0,AE17-AH17,0)</f>
        <v>0</v>
      </c>
    </row>
    <row r="18" spans="1:35" ht="24.95" customHeight="1" x14ac:dyDescent="0.2">
      <c r="A18" s="429" t="str">
        <f>IF('Loan Entry'!$M18&gt;0,DATE((G18+1),1,1),"")</f>
        <v/>
      </c>
      <c r="B18" s="318"/>
      <c r="C18" s="319"/>
      <c r="D18" s="319"/>
      <c r="E18" s="858"/>
      <c r="F18" s="320"/>
      <c r="G18" s="321"/>
      <c r="H18" s="419" t="str">
        <f>IF(I18&gt;0,ROUNDDOWN(Year+I18,0),"")</f>
        <v/>
      </c>
      <c r="I18" s="321"/>
      <c r="J18" s="321"/>
      <c r="K18" s="419" t="e">
        <f>IF(H18&gt;0,IF(H18-Year=0,"yes","no"),"")</f>
        <v>#VALUE!</v>
      </c>
      <c r="L18" s="422" t="str">
        <f>IF('Loan Entry'!$J18&gt;0,DATE(G18,INDEX(Inputs!$C$4:$D$15,MATCH(J18,Months,0),2),1),"")</f>
        <v/>
      </c>
      <c r="M18" s="321"/>
      <c r="N18" s="419" t="str">
        <f>IF(M18&lt;&gt;0,IF(AND(K18="yes",M18="Monthly")=TRUE,CHOOSE(R18,"January","February","March","April","May","June","July","August","September","October","November","December"),RIGHT(AB18,3)),"")</f>
        <v/>
      </c>
      <c r="O18" s="537" t="str">
        <f>IF('Loan Entry'!$M18&gt;0,'Loan Entry'!$I18*'Loan Entry'!$Q18,"")</f>
        <v/>
      </c>
      <c r="P18" s="537" t="str">
        <f>IF(M18&gt;0,(H18-(G18-1))*IF(M18="Monthly",12,IF(M18="Quarterly",4,IF(M18="Semi-Annual",2,1))),"")</f>
        <v/>
      </c>
      <c r="Q18" s="537" t="str">
        <f>IF(M18&gt;0,IF(M18="Monthly",12,IF(M18="Quarterly",4,IF(M18="Semi-Annual",2,1))),"")</f>
        <v/>
      </c>
      <c r="R18" s="537" t="str">
        <f>IF(M18&gt;0,IF(I18&lt;1,IF(M18="Annual",1,(YEARFRAC(L18,A18,))*IF(M18="Monthly",O18,IF(M18="quarterly",O18*3,IF(M18="semi-annual",O18*2,12)))),IF(M18="Annual",1,(YEARFRAC(L18,A18,))*12)),"")</f>
        <v/>
      </c>
      <c r="S18" s="537">
        <f>IF(M18&gt;0,INDEX(Inputs!$J$26:$K$37,MATCH('Loan Entry'!N18,Inputs!$J$26:$J$37,0),2)/12,0)</f>
        <v>0</v>
      </c>
      <c r="T18" s="537" t="str">
        <f>IF(M18&lt;&gt;0,IF(R18&gt;12,12,ROUNDUP(IF(M18="Monthly",12*(R18/Q18),IF(M18="Quarterly",((R18/12)*Q18),IF(M18="Semi-Annual",IF(((R18/12)*Q18)&gt;1,2,1),1))),0)),"")</f>
        <v/>
      </c>
      <c r="U18" s="537" t="str">
        <f>IF(M18&gt;0,T18/Q18,"")</f>
        <v/>
      </c>
      <c r="V18" s="538" t="str">
        <f>IF('Loan Entry'!$M18&gt;0,IF(U18=1,X18/T18,(X18/T18)),"")</f>
        <v/>
      </c>
      <c r="W18" s="538" t="str">
        <f>IF('Loan Entry'!$M18&gt;0,IF(U18=1,Y18/T18,U18*(Y18/T18)),"")</f>
        <v/>
      </c>
      <c r="X18" s="538" t="str">
        <f>IF(E18&gt;0,IF('Loan Entry'!$M18&lt;&gt;0,CUMPRINC((365/360)*E18/Q18,O18,F18,1,T18,0)*-1,),'Loan Entry'!$AC18)</f>
        <v/>
      </c>
      <c r="Y18" s="538">
        <f>IF(E18&gt;0,IF('Loan Entry'!$M18&lt;&gt;0,CUMIPMT(((365/360)*E18)/Q18,O18,F18,1,T18,0)*-1,),0)</f>
        <v>0</v>
      </c>
      <c r="Z18" s="538">
        <f>IF(ISERROR(S18*IF(E18&gt;0,IF('Loan Entry'!$M18&lt;&gt;0,CUMIPMT(((365/360)*E18)/Q18,O18,F18,1,T18,0)*-1,),0))=FALSE,S18*IF(E18&gt;0,IF('Loan Entry'!$M18&lt;&gt;0,CUMIPMT(((365/360)*E18)/Q18,O18,F18,1,T18,0)*-1,),0),0)</f>
        <v>0</v>
      </c>
      <c r="AA18" s="538">
        <f>IF(ISERROR(S18*IF(E18&gt;0,IF('Loan Entry'!$M18&lt;&gt;0,CUMIPMT(((365/360)*E18)/Q18,O18-T18,F18,1+T18,T18+T18,0)*-1,),0))=FALSE,S18*IF(E18&gt;0,IF('Loan Entry'!$M18&lt;&gt;0,CUMIPMT(((365/360)*E18)/Q18,O18-T18,F18,1+T18,T18+T18,0)*-1,),0),0)</f>
        <v>0</v>
      </c>
      <c r="AB18" s="538" t="str">
        <f>IF(M18&lt;&gt;0,IF(K18="no",IF(M18="annual",INDEX(Inputs!$C$4:$E$15,MATCH('Loan Entry'!J18,Months,0),3),IF(M18="semi-annual",IF(T18=2,CONCATENATE(INDEX(Inputs!$C$4:$E$15,MATCH('Loan Entry'!J18,Months,0),3),",",INDEX(Inputs!$C$4:$E$15,MATCH(MONTH(L18+190),Inputs!$D$4:$D$15,0),3)),INDEX(Inputs!$C$4:$E$15,MATCH('Loan Entry'!J18,Months,0),3)),IF(M18="Quarterly",IF(T18=4,CONCATENATE(INDEX(Inputs!$C$4:$E$15,MATCH('Loan Entry'!J18,Months,0),3),",",INDEX(Inputs!$C$4:$E$15,MATCH(MONTH(L18+95),Inputs!$D$4:$D$15,0),3),",",INDEX(Inputs!$C$4:$E$15,MATCH(MONTH(L18+190),Inputs!$D$4:$D$15,0),3),",",INDEX(Inputs!$C$4:$E$15,MATCH(MONTH(L18+275),Inputs!$D$4:$D$15,0),3)),IF(T18=3,CONCATENATE(INDEX(Inputs!$C$4:$E$15,MATCH('Loan Entry'!J18,Months,0),3),",",INDEX(Inputs!$C$4:$E$15,MATCH(MONTH(L18+95),Inputs!$D$4:$D$15,0),3),",",INDEX(Inputs!$C$4:$E$15,MATCH(MONTH(L18+190),Inputs!$D$4:$D$15,0),3)),IF(T18=2,CONCATENATE(INDEX(Inputs!$C$4:$E$15,MATCH('Loan Entry'!J18,Months,0),3),",",INDEX(Inputs!$C$4:$E$15,MATCH(MONTH(L18+95),Inputs!$D$4:$D$15,0),3)),INDEX(Inputs!$C$4:$E$15,MATCH('Loan Entry'!J18,Months,0),3)))),INDEX(Inputs!$C$4:$F$15,MATCH('Loan Entry'!J18,Months,0),4)))),IF(M18="annual",INDEX(Inputs!$C$4:$E$15,MATCH('Loan Entry'!J18,Months,0),3),IF(M18="semi-annual",IF(T18=2,CONCATENATE(INDEX(Inputs!$C$4:$E$15,MATCH('Loan Entry'!J18,Months,0),3),",",INDEX(Inputs!$C$4:$E$15,MATCH(MONTH(L18+190),Inputs!$D$4:$D$15,0),3)),INDEX(Inputs!$C$4:$E$15,MATCH('Loan Entry'!J18,Months,0),3)),IF(M18="Quarterly",IF(T18=4,CONCATENATE(INDEX(Inputs!$C$4:$E$15,MATCH('Loan Entry'!J18,Months,0),3),",",INDEX(Inputs!$C$4:$E$15,MATCH(MONTH(L18+95),Inputs!$D$4:$D$15,0),3),",",INDEX(Inputs!$C$4:$E$15,MATCH(MONTH(L18+190),Inputs!$D$4:$D$15,0),3),",",INDEX(Inputs!$C$4:$E$15,MATCH(MONTH(L18+275),Inputs!$D$4:$D$15,0),3)),IF(T18=3,CONCATENATE(INDEX(Inputs!$C$4:$E$15,MATCH('Loan Entry'!J18,Months,0),3),",",INDEX(Inputs!$C$4:$E$15,MATCH(MONTH(L18+95),Inputs!$D$4:$D$15,0),3),",",INDEX(Inputs!$C$4:$E$15,MATCH(MONTH(L18+190),Inputs!$D$4:$D$15,0),3)),IF(T18=2,CONCATENATE(INDEX(Inputs!$C$4:$E$15,MATCH('Loan Entry'!J18,Months,0),3),",",INDEX(Inputs!$C$4:$E$15,MATCH(MONTH(L18+95),Inputs!$D$4:$D$15,0),3)),INDEX(Inputs!$C$4:$G$15,MATCH('Loan Entry'!J18,Months,0),3)))),INDEX(Inputs!$C$4:$G$15,MATCH('Loan Entry'!N18,Months,0),5))))),"")</f>
        <v/>
      </c>
      <c r="AC18" s="844" t="str">
        <f>IF('Loan Entry'!$M18&gt;0,PMT((365/360)*'Loan Entry'!$E18/'Loan Entry'!$Q18,'Loan Entry'!$O18,'Loan Entry'!$F18*-1)*MIN('Loan Entry'!$Q18,O18),"")</f>
        <v/>
      </c>
      <c r="AD18" s="845" t="str">
        <f>IF(F18&gt;0,IF('Loan Entry'!$M18&lt;&gt;0,IF(U18=1,X18,IF(E18=0,U18*X18,X18)),'Loan Entry'!$AC18),"")</f>
        <v/>
      </c>
      <c r="AE18" s="849" t="str">
        <f>IF('Loan Entry'!$M18&gt;0,'Loan Entry'!$F18-'Loan Entry'!$AD18,"")</f>
        <v/>
      </c>
      <c r="AF18" s="595" t="str">
        <f>IF(AE18&gt;0,AC18,0)</f>
        <v/>
      </c>
      <c r="AG18" s="617"/>
      <c r="AH18" s="611" t="str">
        <f>IF(AE18&lt;&gt;0,IF(AE18&lt;AD18,AE18,IF(E18&gt;0,IF('Loan Entry'!$M18&lt;&gt;0,CUMPRINC(E18/Q18,(O18-T18),AE18,1,T18,0)*-1,),'Loan Entry'!$AC18)),0)</f>
        <v/>
      </c>
      <c r="AI18" s="611">
        <f>IF(M18&gt;0,AE18-AH18,0)</f>
        <v>0</v>
      </c>
    </row>
    <row r="19" spans="1:35" s="93" customFormat="1" ht="24.95" customHeight="1" x14ac:dyDescent="0.2">
      <c r="A19" s="428"/>
      <c r="B19" s="1267" t="str">
        <f>CONCATENATE("Sub-Total ",B13)</f>
        <v>Sub-Total Equipment Loans</v>
      </c>
      <c r="C19" s="1267"/>
      <c r="D19" s="1267"/>
      <c r="E19" s="1267"/>
      <c r="F19" s="1267"/>
      <c r="G19" s="1267"/>
      <c r="H19" s="1267"/>
      <c r="I19" s="1267"/>
      <c r="J19" s="1267"/>
      <c r="K19" s="1267"/>
      <c r="L19" s="1267"/>
      <c r="M19" s="1267"/>
      <c r="N19" s="1267"/>
      <c r="O19" s="1267"/>
      <c r="P19" s="1267"/>
      <c r="Q19" s="1267"/>
      <c r="R19" s="1267"/>
      <c r="S19" s="1267"/>
      <c r="T19" s="1267"/>
      <c r="U19" s="1267"/>
      <c r="V19" s="1267"/>
      <c r="W19" s="1267"/>
      <c r="X19" s="1267"/>
      <c r="Y19" s="1267"/>
      <c r="Z19" s="1267"/>
      <c r="AA19" s="1267"/>
      <c r="AB19" s="1267"/>
      <c r="AC19" s="1267"/>
      <c r="AD19" s="260">
        <f>SUM('Loan Entry'!$AD$15:$AD$18)</f>
        <v>0</v>
      </c>
      <c r="AE19" s="260">
        <f>SUM('Loan Entry'!$AE$15:$AE$18)</f>
        <v>0</v>
      </c>
      <c r="AF19" s="596"/>
      <c r="AG19" s="610"/>
      <c r="AH19" s="613">
        <f>SUM(AH15:AH18)</f>
        <v>0</v>
      </c>
      <c r="AI19" s="613">
        <f>SUM(AI15:AI18)</f>
        <v>0</v>
      </c>
    </row>
    <row r="20" spans="1:35" ht="12.75" x14ac:dyDescent="0.2">
      <c r="AH20" s="611"/>
      <c r="AI20" s="611"/>
    </row>
    <row r="21" spans="1:35" ht="24.95" customHeight="1" x14ac:dyDescent="0.2">
      <c r="B21" s="1269" t="s">
        <v>251</v>
      </c>
      <c r="C21" s="1269"/>
      <c r="D21" s="1269"/>
      <c r="E21" s="1269"/>
      <c r="F21" s="1269"/>
      <c r="G21" s="1269"/>
      <c r="H21" s="1269"/>
      <c r="I21" s="1269"/>
      <c r="J21" s="1269"/>
      <c r="K21" s="1269"/>
      <c r="L21" s="1269"/>
      <c r="M21" s="1269"/>
      <c r="N21" s="1269"/>
      <c r="O21" s="1269"/>
      <c r="P21" s="1269"/>
      <c r="Q21" s="1269"/>
      <c r="R21" s="1269"/>
      <c r="S21" s="1269"/>
      <c r="T21" s="1269"/>
      <c r="U21" s="1269"/>
      <c r="V21" s="1269"/>
      <c r="W21" s="1269"/>
      <c r="X21" s="1269"/>
      <c r="Y21" s="1269"/>
      <c r="Z21" s="1269"/>
      <c r="AA21" s="1269"/>
      <c r="AB21" s="1269"/>
      <c r="AC21" s="1269"/>
      <c r="AD21" s="1269"/>
      <c r="AE21" s="1269"/>
      <c r="AH21" s="611"/>
      <c r="AI21" s="611"/>
    </row>
    <row r="22" spans="1:35" ht="24.95" customHeight="1" thickBot="1" x14ac:dyDescent="0.25">
      <c r="B22" s="451" t="s">
        <v>90</v>
      </c>
      <c r="C22" s="452" t="s">
        <v>91</v>
      </c>
      <c r="D22" s="448" t="s">
        <v>172</v>
      </c>
      <c r="E22" s="453" t="s">
        <v>92</v>
      </c>
      <c r="F22" s="449" t="s">
        <v>114</v>
      </c>
      <c r="G22" s="449" t="s">
        <v>96</v>
      </c>
      <c r="H22" s="449" t="s">
        <v>223</v>
      </c>
      <c r="I22" s="454" t="s">
        <v>103</v>
      </c>
      <c r="J22" s="454" t="s">
        <v>178</v>
      </c>
      <c r="K22" s="526" t="s">
        <v>225</v>
      </c>
      <c r="L22" s="526" t="s">
        <v>228</v>
      </c>
      <c r="M22" s="449" t="s">
        <v>97</v>
      </c>
      <c r="N22" s="527" t="s">
        <v>226</v>
      </c>
      <c r="O22" s="527" t="s">
        <v>227</v>
      </c>
      <c r="P22" s="527" t="s">
        <v>224</v>
      </c>
      <c r="Q22" s="527" t="s">
        <v>106</v>
      </c>
      <c r="R22" s="527" t="s">
        <v>181</v>
      </c>
      <c r="S22" s="527" t="s">
        <v>421</v>
      </c>
      <c r="T22" s="527" t="s">
        <v>195</v>
      </c>
      <c r="U22" s="527" t="s">
        <v>201</v>
      </c>
      <c r="V22" s="527" t="s">
        <v>179</v>
      </c>
      <c r="W22" s="527" t="s">
        <v>180</v>
      </c>
      <c r="X22" s="527" t="s">
        <v>193</v>
      </c>
      <c r="Y22" s="527" t="s">
        <v>194</v>
      </c>
      <c r="Z22" s="527" t="s">
        <v>418</v>
      </c>
      <c r="AA22" s="527" t="s">
        <v>417</v>
      </c>
      <c r="AB22" s="527" t="s">
        <v>105</v>
      </c>
      <c r="AC22" s="454" t="s">
        <v>93</v>
      </c>
      <c r="AD22" s="454" t="s">
        <v>94</v>
      </c>
      <c r="AE22" s="454" t="s">
        <v>95</v>
      </c>
      <c r="AH22" s="611"/>
      <c r="AI22" s="611"/>
    </row>
    <row r="23" spans="1:35" ht="24.95" customHeight="1" thickTop="1" x14ac:dyDescent="0.2">
      <c r="A23" s="429" t="str">
        <f>IF('Loan Entry'!$M23&gt;0,DATE((G23+1),1,1),"")</f>
        <v/>
      </c>
      <c r="B23" s="314"/>
      <c r="C23" s="315"/>
      <c r="D23" s="315"/>
      <c r="E23" s="857"/>
      <c r="F23" s="316"/>
      <c r="G23" s="317"/>
      <c r="H23" s="418" t="str">
        <f>IF(I23&gt;0,ROUNDDOWN(Year+I23,0),"")</f>
        <v/>
      </c>
      <c r="I23" s="317"/>
      <c r="J23" s="317"/>
      <c r="K23" s="418" t="e">
        <f>IF(H23&gt;0,IF(H23-Year=0,"yes","no"),"")</f>
        <v>#VALUE!</v>
      </c>
      <c r="L23" s="418" t="str">
        <f>IF('Loan Entry'!$J23&gt;0,DATE(G23,INDEX(Inputs!$C$4:$D$15,MATCH(J23,Months,0),2),1),"")</f>
        <v/>
      </c>
      <c r="M23" s="317"/>
      <c r="N23" s="418" t="str">
        <f>IF(M23&lt;&gt;0,IF(AND(K23="yes",M23="Monthly")=TRUE,CHOOSE(R23,"January","February","March","April","May","June","July","August","September","October","November","December"),RIGHT(AB23,3)),"")</f>
        <v/>
      </c>
      <c r="O23" s="418" t="str">
        <f>IF('Loan Entry'!$M23&gt;0,'Loan Entry'!$I23*'Loan Entry'!$Q23,"")</f>
        <v/>
      </c>
      <c r="P23" s="418" t="str">
        <f>IF(M23&gt;0,(H23-(G23-1))*IF(M23="Monthly",12,IF(M23="Quarterly",4,IF(M23="Semi-Annual",2,1))),"")</f>
        <v/>
      </c>
      <c r="Q23" s="418" t="str">
        <f>IF(M23&gt;0,IF(M23="Monthly",12,IF(M23="Quarterly",4,IF(M23="Semi-Annual",2,1))),"")</f>
        <v/>
      </c>
      <c r="R23" s="418" t="str">
        <f>IF(M23&gt;0,IF(I23&lt;1,IF(M23="Annual",1,(YEARFRAC(L23,A23,))*IF(M23="Monthly",O23,IF(M23="quarterly",O23*3,IF(M23="semi-annual",O23*2,12)))),IF(M23="Annual",1,(YEARFRAC(L23,A23,))*12)),"")</f>
        <v/>
      </c>
      <c r="S23" s="418">
        <f>IF(M23&gt;0,INDEX(Inputs!$J$26:$K$37,MATCH('Loan Entry'!N23,Inputs!$J$26:$J$37,0),2)/12,0)</f>
        <v>0</v>
      </c>
      <c r="T23" s="418" t="str">
        <f>IF(M23&lt;&gt;0,IF(R23&gt;12,12,ROUNDUP(IF(M23="Monthly",12*(R23/Q23),IF(M23="Quarterly",((R23/12)*Q23),IF(M23="Semi-Annual",IF(((R23/12)*Q23)&gt;1,2,1),1))),0)),"")</f>
        <v/>
      </c>
      <c r="U23" s="418" t="str">
        <f>IF(M23&gt;0,T23/Q23,"")</f>
        <v/>
      </c>
      <c r="V23" s="418" t="str">
        <f>IF('Loan Entry'!$M23&gt;0,IF(U23=1,X23/T23,(X23/T23)),"")</f>
        <v/>
      </c>
      <c r="W23" s="531" t="str">
        <f>IF('Loan Entry'!$M23&gt;0,IF(U23=1,Y23/T23,U23*(Y23/T23)),"")</f>
        <v/>
      </c>
      <c r="X23" s="418" t="str">
        <f>IF(E23&gt;0,IF('Loan Entry'!$M23&lt;&gt;0,CUMPRINC((365/360)*E23/Q23,O23,F23,1,T23,0)*-1,),'Loan Entry'!$AC23)</f>
        <v/>
      </c>
      <c r="Y23" s="418">
        <f>IF(E23&gt;0,IF('Loan Entry'!$M23&lt;&gt;0,CUMIPMT(((365/360)*E23)/Q23,O23,F23,1,T23,0)*-1,),0)</f>
        <v>0</v>
      </c>
      <c r="Z23" s="418">
        <f>IF(ISERROR(S23*IF(E23&gt;0,IF('Loan Entry'!$M23&lt;&gt;0,CUMIPMT(((365/360)*E23)/Q23,O23,F23,1,T23,0)*-1,),0))=FALSE,S23*IF(E23&gt;0,IF('Loan Entry'!$M23&lt;&gt;0,CUMIPMT(((365/360)*E23)/Q23,O23,F23,1,T23,0)*-1,),0),0)</f>
        <v>0</v>
      </c>
      <c r="AA23" s="418">
        <f>IF(ISERROR(S23*IF(E23&gt;0,IF('Loan Entry'!$M23&lt;&gt;0,CUMIPMT(((365/360)*E23)/Q23,O23-T23,F23,1+T23,T23+T23,0)*-1,),0))=FALSE,S23*IF(E23&gt;0,IF('Loan Entry'!$M23&lt;&gt;0,CUMIPMT(((365/360)*E23)/Q23,O23-T23,F23,1+T23,T23+T23,0)*-1,),0),0)</f>
        <v>0</v>
      </c>
      <c r="AB23" s="418" t="str">
        <f>IF(M23&lt;&gt;0,IF(K23="no",IF(M23="annual",INDEX(Inputs!$C$4:$E$15,MATCH('Loan Entry'!J23,Months,0),3),IF(M23="semi-annual",IF(T23=2,CONCATENATE(INDEX(Inputs!$C$4:$E$15,MATCH('Loan Entry'!J23,Months,0),3),",",INDEX(Inputs!$C$4:$E$15,MATCH(MONTH(L23+190),Inputs!$D$4:$D$15,0),3)),INDEX(Inputs!$C$4:$E$15,MATCH('Loan Entry'!J23,Months,0),3)),IF(M23="Quarterly",IF(T23=4,CONCATENATE(INDEX(Inputs!$C$4:$E$15,MATCH('Loan Entry'!J23,Months,0),3),",",INDEX(Inputs!$C$4:$E$15,MATCH(MONTH(L23+95),Inputs!$D$4:$D$15,0),3),",",INDEX(Inputs!$C$4:$E$15,MATCH(MONTH(L23+190),Inputs!$D$4:$D$15,0),3),",",INDEX(Inputs!$C$4:$E$15,MATCH(MONTH(L23+275),Inputs!$D$4:$D$15,0),3)),IF(T23=3,CONCATENATE(INDEX(Inputs!$C$4:$E$15,MATCH('Loan Entry'!J23,Months,0),3),",",INDEX(Inputs!$C$4:$E$15,MATCH(MONTH(L23+95),Inputs!$D$4:$D$15,0),3),",",INDEX(Inputs!$C$4:$E$15,MATCH(MONTH(L23+190),Inputs!$D$4:$D$15,0),3)),IF(T23=2,CONCATENATE(INDEX(Inputs!$C$4:$E$15,MATCH('Loan Entry'!J23,Months,0),3),",",INDEX(Inputs!$C$4:$E$15,MATCH(MONTH(L23+95),Inputs!$D$4:$D$15,0),3)),INDEX(Inputs!$C$4:$E$15,MATCH('Loan Entry'!J23,Months,0),3)))),INDEX(Inputs!$C$4:$F$15,MATCH('Loan Entry'!J23,Months,0),4)))),IF(M23="annual",INDEX(Inputs!$C$4:$E$15,MATCH('Loan Entry'!J23,Months,0),3),IF(M23="semi-annual",IF(T23=2,CONCATENATE(INDEX(Inputs!$C$4:$E$15,MATCH('Loan Entry'!J23,Months,0),3),",",INDEX(Inputs!$C$4:$E$15,MATCH(MONTH(L23+190),Inputs!$D$4:$D$15,0),3)),INDEX(Inputs!$C$4:$E$15,MATCH('Loan Entry'!J23,Months,0),3)),IF(M23="Quarterly",IF(T23=4,CONCATENATE(INDEX(Inputs!$C$4:$E$15,MATCH('Loan Entry'!J23,Months,0),3),",",INDEX(Inputs!$C$4:$E$15,MATCH(MONTH(L23+95),Inputs!$D$4:$D$15,0),3),",",INDEX(Inputs!$C$4:$E$15,MATCH(MONTH(L23+190),Inputs!$D$4:$D$15,0),3),",",INDEX(Inputs!$C$4:$E$15,MATCH(MONTH(L23+275),Inputs!$D$4:$D$15,0),3)),IF(T23=3,CONCATENATE(INDEX(Inputs!$C$4:$E$15,MATCH('Loan Entry'!J23,Months,0),3),",",INDEX(Inputs!$C$4:$E$15,MATCH(MONTH(L23+95),Inputs!$D$4:$D$15,0),3),",",INDEX(Inputs!$C$4:$E$15,MATCH(MONTH(L23+190),Inputs!$D$4:$D$15,0),3)),IF(T23=2,CONCATENATE(INDEX(Inputs!$C$4:$E$15,MATCH('Loan Entry'!J23,Months,0),3),",",INDEX(Inputs!$C$4:$E$15,MATCH(MONTH(L23+95),Inputs!$D$4:$D$15,0),3)),INDEX(Inputs!$C$4:$G$15,MATCH('Loan Entry'!J23,Months,0),3)))),INDEX(Inputs!$C$4:$G$15,MATCH('Loan Entry'!N23,Months,0),5))))),"")</f>
        <v/>
      </c>
      <c r="AC23" s="842" t="str">
        <f>IF('Loan Entry'!$M23&gt;0,PMT((365/360)*'Loan Entry'!$E23/'Loan Entry'!$Q23,'Loan Entry'!$O23,'Loan Entry'!$F23*-1)*MIN('Loan Entry'!$Q23,O23),"")</f>
        <v/>
      </c>
      <c r="AD23" s="843" t="str">
        <f>IF(F23&gt;0,IF('Loan Entry'!$M23&lt;&gt;0,IF(U23=1,X23,IF(E23=0,U23*X23,X23)),'Loan Entry'!$AC23),"")</f>
        <v/>
      </c>
      <c r="AE23" s="848" t="str">
        <f>IF('Loan Entry'!$M23&gt;0,'Loan Entry'!$F23-'Loan Entry'!$AD23,"")</f>
        <v/>
      </c>
      <c r="AF23" s="595" t="str">
        <f>IF(AE23&gt;0,AC23,0)</f>
        <v/>
      </c>
      <c r="AG23" s="595"/>
      <c r="AH23" s="611" t="str">
        <f>IF(AE23&lt;&gt;0,IF(AE23&lt;AD23,AE23,IF(E23&gt;0,IF('Loan Entry'!$M23&lt;&gt;0,CUMPRINC(E23/Q23,(O23-T23),AE23,1,T23,0)*-1,),'Loan Entry'!$AC23)),0)</f>
        <v/>
      </c>
      <c r="AI23" s="611">
        <f>IF(M23&gt;0,AE23-AH23,0)</f>
        <v>0</v>
      </c>
    </row>
    <row r="24" spans="1:35" ht="24.95" customHeight="1" x14ac:dyDescent="0.2">
      <c r="A24" s="429" t="str">
        <f>IF('Loan Entry'!$M24&gt;0,DATE((G24+1),1,1),"")</f>
        <v/>
      </c>
      <c r="B24" s="318"/>
      <c r="C24" s="319"/>
      <c r="D24" s="319"/>
      <c r="E24" s="858"/>
      <c r="F24" s="320"/>
      <c r="G24" s="321"/>
      <c r="H24" s="419" t="str">
        <f>IF(I24&gt;0,ROUNDDOWN(Year+I24,0),"")</f>
        <v/>
      </c>
      <c r="I24" s="321"/>
      <c r="J24" s="321"/>
      <c r="K24" s="419" t="e">
        <f>IF(H24&gt;0,IF(H24-Year=0,"yes","no"),"")</f>
        <v>#VALUE!</v>
      </c>
      <c r="L24" s="419" t="str">
        <f>IF('Loan Entry'!$J24&gt;0,DATE(G24,INDEX(Inputs!$C$4:$D$15,MATCH(J24,Months,0),2),1),"")</f>
        <v/>
      </c>
      <c r="M24" s="321"/>
      <c r="N24" s="419" t="str">
        <f>IF(M24&lt;&gt;0,IF(AND(K24="yes",M24="Monthly")=TRUE,CHOOSE(R24,"January","February","March","April","May","June","July","August","September","October","November","December"),RIGHT(AB24,3)),"")</f>
        <v/>
      </c>
      <c r="O24" s="537" t="str">
        <f>IF('Loan Entry'!$M24&gt;0,'Loan Entry'!$I24*'Loan Entry'!$Q24,"")</f>
        <v/>
      </c>
      <c r="P24" s="537" t="str">
        <f>IF(M24&gt;0,(H24-(G24-1))*IF(M24="Monthly",12,IF(M24="Quarterly",4,IF(M24="Semi-Annual",2,1))),"")</f>
        <v/>
      </c>
      <c r="Q24" s="537" t="str">
        <f>IF(M24&gt;0,IF(M24="Monthly",12,IF(M24="Quarterly",4,IF(M24="Semi-Annual",2,1))),"")</f>
        <v/>
      </c>
      <c r="R24" s="537" t="str">
        <f>IF(M24&gt;0,IF(I24&lt;1,IF(M24="Annual",1,(YEARFRAC(L24,A24,))*IF(M24="Monthly",O24,IF(M24="quarterly",O24*3,IF(M24="semi-annual",O24*2,12)))),IF(M24="Annual",1,(YEARFRAC(L24,A24,))*12)),"")</f>
        <v/>
      </c>
      <c r="S24" s="537">
        <f>IF(M24&gt;0,INDEX(Inputs!$J$26:$K$37,MATCH('Loan Entry'!N24,Inputs!$J$26:$J$37,0),2)/12,0)</f>
        <v>0</v>
      </c>
      <c r="T24" s="537" t="str">
        <f>IF(M24&lt;&gt;0,IF(R24&gt;12,12,ROUNDUP(IF(M24="Monthly",12*(R24/Q24),IF(M24="Quarterly",((R24/12)*Q24),IF(M24="Semi-Annual",IF(((R24/12)*Q24)&gt;1,2,1),1))),0)),"")</f>
        <v/>
      </c>
      <c r="U24" s="537" t="str">
        <f>IF(M24&gt;0,T24/Q24,"")</f>
        <v/>
      </c>
      <c r="V24" s="537" t="str">
        <f>IF('Loan Entry'!$M24&gt;0,IF(U24=1,X24/T24,(X24/T24)),"")</f>
        <v/>
      </c>
      <c r="W24" s="537" t="str">
        <f>IF('Loan Entry'!$M24&gt;0,IF(U24=1,Y24/T24,U24*(Y24/T24)),"")</f>
        <v/>
      </c>
      <c r="X24" s="537" t="str">
        <f>IF(E24&gt;0,IF('Loan Entry'!$M24&lt;&gt;0,CUMPRINC((365/360)*E24/Q24,O24,F24,1,T24,0)*-1,),'Loan Entry'!$AC24)</f>
        <v/>
      </c>
      <c r="Y24" s="537">
        <f>IF(E24&gt;0,IF('Loan Entry'!$M24&lt;&gt;0,CUMIPMT(((365/360)*E24)/Q24,O24,F24,1,T24,0)*-1,),0)</f>
        <v>0</v>
      </c>
      <c r="Z24" s="537">
        <f>IF(ISERROR(S24*IF(E24&gt;0,IF('Loan Entry'!$M24&lt;&gt;0,CUMIPMT(((365/360)*E24)/Q24,O24,F24,1,T24,0)*-1,),0))=FALSE,S24*IF(E24&gt;0,IF('Loan Entry'!$M24&lt;&gt;0,CUMIPMT(((365/360)*E24)/Q24,O24,F24,1,T24,0)*-1,),0),0)</f>
        <v>0</v>
      </c>
      <c r="AA24" s="537">
        <f>IF(ISERROR(S24*IF(E24&gt;0,IF('Loan Entry'!$M24&lt;&gt;0,CUMIPMT(((365/360)*E24)/Q24,O24-T24,F24,1+T24,T24+T24,0)*-1,),0))=FALSE,S24*IF(E24&gt;0,IF('Loan Entry'!$M24&lt;&gt;0,CUMIPMT(((365/360)*E24)/Q24,O24-T24,F24,1+T24,T24+T24,0)*-1,),0),0)</f>
        <v>0</v>
      </c>
      <c r="AB24" s="537" t="str">
        <f>IF(M24&lt;&gt;0,IF(K24="no",IF(M24="annual",INDEX(Inputs!$C$4:$E$15,MATCH('Loan Entry'!J24,Months,0),3),IF(M24="semi-annual",IF(T24=2,CONCATENATE(INDEX(Inputs!$C$4:$E$15,MATCH('Loan Entry'!J24,Months,0),3),",",INDEX(Inputs!$C$4:$E$15,MATCH(MONTH(L24+190),Inputs!$D$4:$D$15,0),3)),INDEX(Inputs!$C$4:$E$15,MATCH('Loan Entry'!J24,Months,0),3)),IF(M24="Quarterly",IF(T24=4,CONCATENATE(INDEX(Inputs!$C$4:$E$15,MATCH('Loan Entry'!J24,Months,0),3),",",INDEX(Inputs!$C$4:$E$15,MATCH(MONTH(L24+95),Inputs!$D$4:$D$15,0),3),",",INDEX(Inputs!$C$4:$E$15,MATCH(MONTH(L24+190),Inputs!$D$4:$D$15,0),3),",",INDEX(Inputs!$C$4:$E$15,MATCH(MONTH(L24+275),Inputs!$D$4:$D$15,0),3)),IF(T24=3,CONCATENATE(INDEX(Inputs!$C$4:$E$15,MATCH('Loan Entry'!J24,Months,0),3),",",INDEX(Inputs!$C$4:$E$15,MATCH(MONTH(L24+95),Inputs!$D$4:$D$15,0),3),",",INDEX(Inputs!$C$4:$E$15,MATCH(MONTH(L24+190),Inputs!$D$4:$D$15,0),3)),IF(T24=2,CONCATENATE(INDEX(Inputs!$C$4:$E$15,MATCH('Loan Entry'!J24,Months,0),3),",",INDEX(Inputs!$C$4:$E$15,MATCH(MONTH(L24+95),Inputs!$D$4:$D$15,0),3)),INDEX(Inputs!$C$4:$E$15,MATCH('Loan Entry'!J24,Months,0),3)))),INDEX(Inputs!$C$4:$F$15,MATCH('Loan Entry'!J24,Months,0),4)))),IF(M24="annual",INDEX(Inputs!$C$4:$E$15,MATCH('Loan Entry'!J24,Months,0),3),IF(M24="semi-annual",IF(T24=2,CONCATENATE(INDEX(Inputs!$C$4:$E$15,MATCH('Loan Entry'!J24,Months,0),3),",",INDEX(Inputs!$C$4:$E$15,MATCH(MONTH(L24+190),Inputs!$D$4:$D$15,0),3)),INDEX(Inputs!$C$4:$E$15,MATCH('Loan Entry'!J24,Months,0),3)),IF(M24="Quarterly",IF(T24=4,CONCATENATE(INDEX(Inputs!$C$4:$E$15,MATCH('Loan Entry'!J24,Months,0),3),",",INDEX(Inputs!$C$4:$E$15,MATCH(MONTH(L24+95),Inputs!$D$4:$D$15,0),3),",",INDEX(Inputs!$C$4:$E$15,MATCH(MONTH(L24+190),Inputs!$D$4:$D$15,0),3),",",INDEX(Inputs!$C$4:$E$15,MATCH(MONTH(L24+275),Inputs!$D$4:$D$15,0),3)),IF(T24=3,CONCATENATE(INDEX(Inputs!$C$4:$E$15,MATCH('Loan Entry'!J24,Months,0),3),",",INDEX(Inputs!$C$4:$E$15,MATCH(MONTH(L24+95),Inputs!$D$4:$D$15,0),3),",",INDEX(Inputs!$C$4:$E$15,MATCH(MONTH(L24+190),Inputs!$D$4:$D$15,0),3)),IF(T24=2,CONCATENATE(INDEX(Inputs!$C$4:$E$15,MATCH('Loan Entry'!J24,Months,0),3),",",INDEX(Inputs!$C$4:$E$15,MATCH(MONTH(L24+95),Inputs!$D$4:$D$15,0),3)),INDEX(Inputs!$C$4:$G$15,MATCH('Loan Entry'!J24,Months,0),3)))),INDEX(Inputs!$C$4:$G$15,MATCH('Loan Entry'!N24,Months,0),5))))),"")</f>
        <v/>
      </c>
      <c r="AC24" s="844" t="str">
        <f>IF('Loan Entry'!$M24&gt;0,PMT((365/360)*'Loan Entry'!$E24/'Loan Entry'!$Q24,'Loan Entry'!$O24,'Loan Entry'!$F24*-1)*MIN('Loan Entry'!$Q24,O24),"")</f>
        <v/>
      </c>
      <c r="AD24" s="845" t="str">
        <f>IF(F24&gt;0,IF('Loan Entry'!$M24&lt;&gt;0,IF(U24=1,X24,IF(E24=0,U24*X24,X24)),'Loan Entry'!$AC24),"")</f>
        <v/>
      </c>
      <c r="AE24" s="849" t="str">
        <f>IF('Loan Entry'!$M24&gt;0,'Loan Entry'!$F24-'Loan Entry'!$AD24,"")</f>
        <v/>
      </c>
      <c r="AF24" s="595" t="str">
        <f>IF(AE24&gt;0,AC24,0)</f>
        <v/>
      </c>
      <c r="AG24" s="595"/>
      <c r="AH24" s="611" t="str">
        <f>IF(AE24&lt;&gt;0,IF(AE24&lt;AD24,AE24,IF(E24&gt;0,IF('Loan Entry'!$M24&lt;&gt;0,CUMPRINC(E24/Q24,(O24-T24),AE24,1,T24,0)*-1,),'Loan Entry'!$AC24)),0)</f>
        <v/>
      </c>
      <c r="AI24" s="611">
        <f>IF(M24&gt;0,AE24-AH24,0)</f>
        <v>0</v>
      </c>
    </row>
    <row r="25" spans="1:35" s="93" customFormat="1" ht="24.95" customHeight="1" x14ac:dyDescent="0.2">
      <c r="A25" s="429" t="str">
        <f>IF('Loan Entry'!$M25&gt;0,DATE((G25+1),1,1),"")</f>
        <v/>
      </c>
      <c r="B25" s="322"/>
      <c r="C25" s="323"/>
      <c r="D25" s="323"/>
      <c r="E25" s="859"/>
      <c r="F25" s="324"/>
      <c r="G25" s="325"/>
      <c r="H25" s="420" t="str">
        <f>IF(I25&gt;0,ROUNDDOWN(Year+I25,0),"")</f>
        <v/>
      </c>
      <c r="I25" s="325"/>
      <c r="J25" s="325"/>
      <c r="K25" s="420" t="e">
        <f>IF(H25&gt;0,IF(H25-Year=0,"yes","no"),"")</f>
        <v>#VALUE!</v>
      </c>
      <c r="L25" s="420" t="str">
        <f>IF('Loan Entry'!$J25&gt;0,DATE(G25,INDEX(Inputs!$C$4:$D$15,MATCH(J25,Months,0),2),1),"")</f>
        <v/>
      </c>
      <c r="M25" s="325"/>
      <c r="N25" s="420" t="str">
        <f>IF(M25&lt;&gt;0,IF(AND(K25="yes",M25="Monthly")=TRUE,CHOOSE(R25,"January","February","March","April","May","June","July","August","September","October","November","December"),RIGHT(AB25,3)),"")</f>
        <v/>
      </c>
      <c r="O25" s="539" t="str">
        <f>IF('Loan Entry'!$M25&gt;0,'Loan Entry'!$I25*'Loan Entry'!$Q25,"")</f>
        <v/>
      </c>
      <c r="P25" s="539" t="str">
        <f>IF(M25&gt;0,(H25-(G25-1))*IF(M25="Monthly",12,IF(M25="Quarterly",4,IF(M25="Semi-Annual",2,1))),"")</f>
        <v/>
      </c>
      <c r="Q25" s="539" t="str">
        <f>IF(M25&gt;0,IF(M25="Monthly",12,IF(M25="Quarterly",4,IF(M25="Semi-Annual",2,1))),"")</f>
        <v/>
      </c>
      <c r="R25" s="539" t="str">
        <f>IF(M25&gt;0,IF(I25&lt;1,IF(M25="Annual",1,(YEARFRAC(L25,A25,))*IF(M25="Monthly",O25,IF(M25="quarterly",O25*3,IF(M25="semi-annual",O25*2,12)))),IF(M25="Annual",1,(YEARFRAC(L25,A25,))*12)),"")</f>
        <v/>
      </c>
      <c r="S25" s="539">
        <f>IF(M25&gt;0,INDEX(Inputs!$J$26:$K$37,MATCH('Loan Entry'!N25,Inputs!$J$26:$J$37,0),2)/12,0)</f>
        <v>0</v>
      </c>
      <c r="T25" s="539" t="str">
        <f>IF(M25&lt;&gt;0,IF(R25&gt;12,12,ROUNDUP(IF(M25="Monthly",12*(R25/Q25),IF(M25="Quarterly",((R25/12)*Q25),IF(M25="Semi-Annual",IF(((R25/12)*Q25)&gt;1,2,1),1))),0)),"")</f>
        <v/>
      </c>
      <c r="U25" s="539" t="str">
        <f>IF(M25&gt;0,T25/Q25,"")</f>
        <v/>
      </c>
      <c r="V25" s="539" t="str">
        <f>IF('Loan Entry'!$M25&gt;0,IF(U25=1,X25/T25,(X25/T25)),"")</f>
        <v/>
      </c>
      <c r="W25" s="539" t="str">
        <f>IF('Loan Entry'!$M25&gt;0,IF(U25=1,Y25/T25,U25*(Y25/T25)),"")</f>
        <v/>
      </c>
      <c r="X25" s="539" t="str">
        <f>IF(E25&gt;0,IF('Loan Entry'!$M25&lt;&gt;0,CUMPRINC((365/360)*E25/Q25,O25,F25,1,T25,0)*-1,),'Loan Entry'!$AC25)</f>
        <v/>
      </c>
      <c r="Y25" s="539">
        <f>IF(E25&gt;0,IF('Loan Entry'!$M25&lt;&gt;0,CUMIPMT(((365/360)*E25)/Q25,O25,F25,1,T25,0)*-1,),0)</f>
        <v>0</v>
      </c>
      <c r="Z25" s="539">
        <f>IF(ISERROR(S25*IF(E25&gt;0,IF('Loan Entry'!$M25&lt;&gt;0,CUMIPMT(((365/360)*E25)/Q25,O25,F25,1,T25,0)*-1,),0))=FALSE,S25*IF(E25&gt;0,IF('Loan Entry'!$M25&lt;&gt;0,CUMIPMT(((365/360)*E25)/Q25,O25,F25,1,T25,0)*-1,),0),0)</f>
        <v>0</v>
      </c>
      <c r="AA25" s="539">
        <f>IF(ISERROR(S25*IF(E25&gt;0,IF('Loan Entry'!$M25&lt;&gt;0,CUMIPMT(((365/360)*E25)/Q25,O25-T25,F25,1+T25,T25+T25,0)*-1,),0))=FALSE,S25*IF(E25&gt;0,IF('Loan Entry'!$M25&lt;&gt;0,CUMIPMT(((365/360)*E25)/Q25,O25-T25,F25,1+T25,T25+T25,0)*-1,),0),0)</f>
        <v>0</v>
      </c>
      <c r="AB25" s="539" t="str">
        <f>IF(M25&lt;&gt;0,IF(K25="no",IF(M25="annual",INDEX(Inputs!$C$4:$E$15,MATCH('Loan Entry'!J25,Months,0),3),IF(M25="semi-annual",IF(T25=2,CONCATENATE(INDEX(Inputs!$C$4:$E$15,MATCH('Loan Entry'!J25,Months,0),3),",",INDEX(Inputs!$C$4:$E$15,MATCH(MONTH(L25+190),Inputs!$D$4:$D$15,0),3)),INDEX(Inputs!$C$4:$E$15,MATCH('Loan Entry'!J25,Months,0),3)),IF(M25="Quarterly",IF(T25=4,CONCATENATE(INDEX(Inputs!$C$4:$E$15,MATCH('Loan Entry'!J25,Months,0),3),",",INDEX(Inputs!$C$4:$E$15,MATCH(MONTH(L25+95),Inputs!$D$4:$D$15,0),3),",",INDEX(Inputs!$C$4:$E$15,MATCH(MONTH(L25+190),Inputs!$D$4:$D$15,0),3),",",INDEX(Inputs!$C$4:$E$15,MATCH(MONTH(L25+275),Inputs!$D$4:$D$15,0),3)),IF(T25=3,CONCATENATE(INDEX(Inputs!$C$4:$E$15,MATCH('Loan Entry'!J25,Months,0),3),",",INDEX(Inputs!$C$4:$E$15,MATCH(MONTH(L25+95),Inputs!$D$4:$D$15,0),3),",",INDEX(Inputs!$C$4:$E$15,MATCH(MONTH(L25+190),Inputs!$D$4:$D$15,0),3)),IF(T25=2,CONCATENATE(INDEX(Inputs!$C$4:$E$15,MATCH('Loan Entry'!J25,Months,0),3),",",INDEX(Inputs!$C$4:$E$15,MATCH(MONTH(L25+95),Inputs!$D$4:$D$15,0),3)),INDEX(Inputs!$C$4:$E$15,MATCH('Loan Entry'!J25,Months,0),3)))),INDEX(Inputs!$C$4:$F$15,MATCH('Loan Entry'!J25,Months,0),4)))),IF(M25="annual",INDEX(Inputs!$C$4:$E$15,MATCH('Loan Entry'!J25,Months,0),3),IF(M25="semi-annual",IF(T25=2,CONCATENATE(INDEX(Inputs!$C$4:$E$15,MATCH('Loan Entry'!J25,Months,0),3),",",INDEX(Inputs!$C$4:$E$15,MATCH(MONTH(L25+190),Inputs!$D$4:$D$15,0),3)),INDEX(Inputs!$C$4:$E$15,MATCH('Loan Entry'!J25,Months,0),3)),IF(M25="Quarterly",IF(T25=4,CONCATENATE(INDEX(Inputs!$C$4:$E$15,MATCH('Loan Entry'!J25,Months,0),3),",",INDEX(Inputs!$C$4:$E$15,MATCH(MONTH(L25+95),Inputs!$D$4:$D$15,0),3),",",INDEX(Inputs!$C$4:$E$15,MATCH(MONTH(L25+190),Inputs!$D$4:$D$15,0),3),",",INDEX(Inputs!$C$4:$E$15,MATCH(MONTH(L25+275),Inputs!$D$4:$D$15,0),3)),IF(T25=3,CONCATENATE(INDEX(Inputs!$C$4:$E$15,MATCH('Loan Entry'!J25,Months,0),3),",",INDEX(Inputs!$C$4:$E$15,MATCH(MONTH(L25+95),Inputs!$D$4:$D$15,0),3),",",INDEX(Inputs!$C$4:$E$15,MATCH(MONTH(L25+190),Inputs!$D$4:$D$15,0),3)),IF(T25=2,CONCATENATE(INDEX(Inputs!$C$4:$E$15,MATCH('Loan Entry'!J25,Months,0),3),",",INDEX(Inputs!$C$4:$E$15,MATCH(MONTH(L25+95),Inputs!$D$4:$D$15,0),3)),INDEX(Inputs!$C$4:$G$15,MATCH('Loan Entry'!J25,Months,0),3)))),INDEX(Inputs!$C$4:$G$15,MATCH('Loan Entry'!N25,Months,0),5))))),"")</f>
        <v/>
      </c>
      <c r="AC25" s="846" t="str">
        <f>IF('Loan Entry'!$M25&gt;0,PMT((365/360)*'Loan Entry'!$E25/'Loan Entry'!$Q25,'Loan Entry'!$O25,'Loan Entry'!$F25*-1)*MIN('Loan Entry'!$Q25,O25),"")</f>
        <v/>
      </c>
      <c r="AD25" s="847" t="str">
        <f>IF(F25&gt;0,IF('Loan Entry'!$M25&lt;&gt;0,IF(U25=1,X25,IF(E25=0,U25*X25,X25)),'Loan Entry'!$AC25),"")</f>
        <v/>
      </c>
      <c r="AE25" s="850" t="str">
        <f>IF('Loan Entry'!$M25&gt;0,'Loan Entry'!$F25-'Loan Entry'!$AD25,"")</f>
        <v/>
      </c>
      <c r="AF25" s="596" t="str">
        <f>IF(AE25&gt;0,AC25,0)</f>
        <v/>
      </c>
      <c r="AG25" s="596"/>
      <c r="AH25" s="613" t="str">
        <f>IF(AE25&lt;&gt;0,IF(AE25&lt;AD25,AE25,IF(E25&gt;0,IF('Loan Entry'!$M25&lt;&gt;0,CUMPRINC(E25/Q25,(O25-T25),AE25,1,T25,0)*-1,),'Loan Entry'!$AC25)),0)</f>
        <v/>
      </c>
      <c r="AI25" s="613">
        <f>IF(M25&gt;0,AE25-AH25,0)</f>
        <v>0</v>
      </c>
    </row>
    <row r="26" spans="1:35" ht="24.95" customHeight="1" x14ac:dyDescent="0.2">
      <c r="A26" s="429" t="str">
        <f>IF('Loan Entry'!$M26&gt;0,DATE((G26+1),1,1),"")</f>
        <v/>
      </c>
      <c r="B26" s="318"/>
      <c r="C26" s="319"/>
      <c r="D26" s="319"/>
      <c r="E26" s="858"/>
      <c r="F26" s="320"/>
      <c r="G26" s="321"/>
      <c r="H26" s="419" t="str">
        <f>IF(I26&gt;0,ROUNDDOWN(Year+I26,0),"")</f>
        <v/>
      </c>
      <c r="I26" s="321"/>
      <c r="J26" s="321"/>
      <c r="K26" s="419" t="e">
        <f>IF(H26&gt;0,IF(H26-Year=0,"yes","no"),"")</f>
        <v>#VALUE!</v>
      </c>
      <c r="L26" s="419" t="str">
        <f>IF('Loan Entry'!$J26&gt;0,DATE(G26,INDEX(Inputs!$C$4:$D$15,MATCH(J26,Months,0),2),1),"")</f>
        <v/>
      </c>
      <c r="M26" s="321"/>
      <c r="N26" s="419" t="str">
        <f>IF(M26&lt;&gt;0,IF(AND(K26="yes",M26="Monthly")=TRUE,CHOOSE(R26,"January","February","March","April","May","June","July","August","September","October","November","December"),RIGHT(AB26,3)),"")</f>
        <v/>
      </c>
      <c r="O26" s="537" t="str">
        <f>IF('Loan Entry'!$M26&gt;0,'Loan Entry'!$I26*'Loan Entry'!$Q26,"")</f>
        <v/>
      </c>
      <c r="P26" s="537" t="str">
        <f>IF(M26&gt;0,(H26-(G26-1))*IF(M26="Monthly",12,IF(M26="Quarterly",4,IF(M26="Semi-Annual",2,1))),"")</f>
        <v/>
      </c>
      <c r="Q26" s="537" t="str">
        <f>IF(M26&gt;0,IF(M26="Monthly",12,IF(M26="Quarterly",4,IF(M26="Semi-Annual",2,1))),"")</f>
        <v/>
      </c>
      <c r="R26" s="537" t="str">
        <f>IF(M26&gt;0,IF(I26&lt;1,IF(M26="Annual",1,(YEARFRAC(L26,A26,))*IF(M26="Monthly",O26,IF(M26="quarterly",O26*3,IF(M26="semi-annual",O26*2,12)))),IF(M26="Annual",1,(YEARFRAC(L26,A26,))*12)),"")</f>
        <v/>
      </c>
      <c r="S26" s="537">
        <f>IF(M26&gt;0,INDEX(Inputs!$J$26:$K$37,MATCH('Loan Entry'!N26,Inputs!$J$26:$J$37,0),2)/12,0)</f>
        <v>0</v>
      </c>
      <c r="T26" s="537" t="str">
        <f>IF(M26&lt;&gt;0,IF(R26&gt;12,12,ROUNDUP(IF(M26="Monthly",12*(R26/Q26),IF(M26="Quarterly",((R26/12)*Q26),IF(M26="Semi-Annual",IF(((R26/12)*Q26)&gt;1,2,1),1))),0)),"")</f>
        <v/>
      </c>
      <c r="U26" s="537" t="str">
        <f>IF(M26&gt;0,T26/Q26,"")</f>
        <v/>
      </c>
      <c r="V26" s="537" t="str">
        <f>IF('Loan Entry'!$M26&gt;0,IF(U26=1,X26/T26,(X26/T26)),"")</f>
        <v/>
      </c>
      <c r="W26" s="537" t="str">
        <f>IF('Loan Entry'!$M26&gt;0,IF(U26=1,Y26/T26,U26*(Y26/T26)),"")</f>
        <v/>
      </c>
      <c r="X26" s="537" t="str">
        <f>IF(E26&gt;0,IF('Loan Entry'!$M26&lt;&gt;0,CUMPRINC((365/360)*E26/Q26,O26,F26,1,T26,0)*-1,),'Loan Entry'!$AC26)</f>
        <v/>
      </c>
      <c r="Y26" s="537">
        <f>IF(E26&gt;0,IF('Loan Entry'!$M26&lt;&gt;0,CUMIPMT(((365/360)*E26)/Q26,O26,F26,1,T26,0)*-1,),0)</f>
        <v>0</v>
      </c>
      <c r="Z26" s="537">
        <f>IF(ISERROR(S26*IF(E26&gt;0,IF('Loan Entry'!$M26&lt;&gt;0,CUMIPMT(((365/360)*E26)/Q26,O26,F26,1,T26,0)*-1,),0))=FALSE,S26*IF(E26&gt;0,IF('Loan Entry'!$M26&lt;&gt;0,CUMIPMT(((365/360)*E26)/Q26,O26,F26,1,T26,0)*-1,),0),0)</f>
        <v>0</v>
      </c>
      <c r="AA26" s="537">
        <f>IF(ISERROR(S26*IF(E26&gt;0,IF('Loan Entry'!$M26&lt;&gt;0,CUMIPMT(((365/360)*E26)/Q26,O26-T26,F26,1+T26,T26+T26,0)*-1,),0))=FALSE,S26*IF(E26&gt;0,IF('Loan Entry'!$M26&lt;&gt;0,CUMIPMT(((365/360)*E26)/Q26,O26-T26,F26,1+T26,T26+T26,0)*-1,),0),0)</f>
        <v>0</v>
      </c>
      <c r="AB26" s="537" t="str">
        <f>IF(M26&lt;&gt;0,IF(K26="no",IF(M26="annual",INDEX(Inputs!$C$4:$E$15,MATCH('Loan Entry'!J26,Months,0),3),IF(M26="semi-annual",IF(T26=2,CONCATENATE(INDEX(Inputs!$C$4:$E$15,MATCH('Loan Entry'!J26,Months,0),3),",",INDEX(Inputs!$C$4:$E$15,MATCH(MONTH(L26+190),Inputs!$D$4:$D$15,0),3)),INDEX(Inputs!$C$4:$E$15,MATCH('Loan Entry'!J26,Months,0),3)),IF(M26="Quarterly",IF(T26=4,CONCATENATE(INDEX(Inputs!$C$4:$E$15,MATCH('Loan Entry'!J26,Months,0),3),",",INDEX(Inputs!$C$4:$E$15,MATCH(MONTH(L26+95),Inputs!$D$4:$D$15,0),3),",",INDEX(Inputs!$C$4:$E$15,MATCH(MONTH(L26+190),Inputs!$D$4:$D$15,0),3),",",INDEX(Inputs!$C$4:$E$15,MATCH(MONTH(L26+275),Inputs!$D$4:$D$15,0),3)),IF(T26=3,CONCATENATE(INDEX(Inputs!$C$4:$E$15,MATCH('Loan Entry'!J26,Months,0),3),",",INDEX(Inputs!$C$4:$E$15,MATCH(MONTH(L26+95),Inputs!$D$4:$D$15,0),3),",",INDEX(Inputs!$C$4:$E$15,MATCH(MONTH(L26+190),Inputs!$D$4:$D$15,0),3)),IF(T26=2,CONCATENATE(INDEX(Inputs!$C$4:$E$15,MATCH('Loan Entry'!J26,Months,0),3),",",INDEX(Inputs!$C$4:$E$15,MATCH(MONTH(L26+95),Inputs!$D$4:$D$15,0),3)),INDEX(Inputs!$C$4:$E$15,MATCH('Loan Entry'!J26,Months,0),3)))),INDEX(Inputs!$C$4:$F$15,MATCH('Loan Entry'!J26,Months,0),4)))),IF(M26="annual",INDEX(Inputs!$C$4:$E$15,MATCH('Loan Entry'!J26,Months,0),3),IF(M26="semi-annual",IF(T26=2,CONCATENATE(INDEX(Inputs!$C$4:$E$15,MATCH('Loan Entry'!J26,Months,0),3),",",INDEX(Inputs!$C$4:$E$15,MATCH(MONTH(L26+190),Inputs!$D$4:$D$15,0),3)),INDEX(Inputs!$C$4:$E$15,MATCH('Loan Entry'!J26,Months,0),3)),IF(M26="Quarterly",IF(T26=4,CONCATENATE(INDEX(Inputs!$C$4:$E$15,MATCH('Loan Entry'!J26,Months,0),3),",",INDEX(Inputs!$C$4:$E$15,MATCH(MONTH(L26+95),Inputs!$D$4:$D$15,0),3),",",INDEX(Inputs!$C$4:$E$15,MATCH(MONTH(L26+190),Inputs!$D$4:$D$15,0),3),",",INDEX(Inputs!$C$4:$E$15,MATCH(MONTH(L26+275),Inputs!$D$4:$D$15,0),3)),IF(T26=3,CONCATENATE(INDEX(Inputs!$C$4:$E$15,MATCH('Loan Entry'!J26,Months,0),3),",",INDEX(Inputs!$C$4:$E$15,MATCH(MONTH(L26+95),Inputs!$D$4:$D$15,0),3),",",INDEX(Inputs!$C$4:$E$15,MATCH(MONTH(L26+190),Inputs!$D$4:$D$15,0),3)),IF(T26=2,CONCATENATE(INDEX(Inputs!$C$4:$E$15,MATCH('Loan Entry'!J26,Months,0),3),",",INDEX(Inputs!$C$4:$E$15,MATCH(MONTH(L26+95),Inputs!$D$4:$D$15,0),3)),INDEX(Inputs!$C$4:$G$15,MATCH('Loan Entry'!J26,Months,0),3)))),INDEX(Inputs!$C$4:$G$15,MATCH('Loan Entry'!N26,Months,0),5))))),"")</f>
        <v/>
      </c>
      <c r="AC26" s="844" t="str">
        <f>IF('Loan Entry'!$M26&gt;0,PMT((365/360)*'Loan Entry'!$E26/'Loan Entry'!$Q26,'Loan Entry'!$O26,'Loan Entry'!$F26*-1)*MIN('Loan Entry'!$Q26,O26),"")</f>
        <v/>
      </c>
      <c r="AD26" s="845" t="str">
        <f>IF(F26&gt;0,IF('Loan Entry'!$M26&lt;&gt;0,IF(U26=1,X26,IF(E26=0,U26*X26,X26)),'Loan Entry'!$AC26),"")</f>
        <v/>
      </c>
      <c r="AE26" s="849" t="str">
        <f>IF('Loan Entry'!$M26&gt;0,'Loan Entry'!$F26-'Loan Entry'!$AD26,"")</f>
        <v/>
      </c>
      <c r="AF26" s="595" t="str">
        <f>IF(AE26&gt;0,AC26,0)</f>
        <v/>
      </c>
      <c r="AG26" s="595"/>
      <c r="AH26" s="611" t="str">
        <f>IF(AE26&lt;&gt;0,IF(AE26&lt;AD26,AE26,IF(E26&gt;0,IF('Loan Entry'!$M26&lt;&gt;0,CUMPRINC(E26/Q26,(O26-T26),AE26,1,T26,0)*-1,),'Loan Entry'!$AC26)),0)</f>
        <v/>
      </c>
      <c r="AI26" s="611">
        <f>IF(M26&gt;0,AE26-AH26,0)</f>
        <v>0</v>
      </c>
    </row>
    <row r="27" spans="1:35" ht="24.95" customHeight="1" x14ac:dyDescent="0.2">
      <c r="B27" s="1267" t="str">
        <f>CONCATENATE("Sub-Total ",B21)</f>
        <v>Sub-Total Livestock Loans</v>
      </c>
      <c r="C27" s="1267"/>
      <c r="D27" s="1267"/>
      <c r="E27" s="1267"/>
      <c r="F27" s="1267"/>
      <c r="G27" s="1267"/>
      <c r="H27" s="1267"/>
      <c r="I27" s="1267"/>
      <c r="J27" s="1267"/>
      <c r="K27" s="1267"/>
      <c r="L27" s="1267"/>
      <c r="M27" s="1267"/>
      <c r="N27" s="1267"/>
      <c r="O27" s="1267"/>
      <c r="P27" s="1267"/>
      <c r="Q27" s="1267"/>
      <c r="R27" s="1267"/>
      <c r="S27" s="1267"/>
      <c r="T27" s="1267"/>
      <c r="U27" s="1267"/>
      <c r="V27" s="1267"/>
      <c r="W27" s="1267"/>
      <c r="X27" s="1267"/>
      <c r="Y27" s="1267"/>
      <c r="Z27" s="1267"/>
      <c r="AA27" s="1267"/>
      <c r="AB27" s="1267"/>
      <c r="AC27" s="1267"/>
      <c r="AD27" s="260">
        <f>SUM('Loan Entry'!$AD$23:$AD$26)</f>
        <v>0</v>
      </c>
      <c r="AE27" s="260">
        <f>SUM('Loan Entry'!$AE$23:$AE$26)</f>
        <v>0</v>
      </c>
      <c r="AH27" s="611">
        <f>SUM(AH23:AH26)</f>
        <v>0</v>
      </c>
      <c r="AI27" s="611">
        <f>SUM(AI23:AI26)</f>
        <v>0</v>
      </c>
    </row>
    <row r="28" spans="1:35" ht="24.95" customHeight="1" x14ac:dyDescent="0.2">
      <c r="AH28" s="611"/>
      <c r="AI28" s="611"/>
    </row>
    <row r="29" spans="1:35" ht="24.95" customHeight="1" x14ac:dyDescent="0.2">
      <c r="B29" s="1269" t="s">
        <v>21</v>
      </c>
      <c r="C29" s="1269"/>
      <c r="D29" s="1269"/>
      <c r="E29" s="1269"/>
      <c r="F29" s="1269"/>
      <c r="G29" s="1269"/>
      <c r="H29" s="1269"/>
      <c r="I29" s="1269"/>
      <c r="J29" s="1269"/>
      <c r="K29" s="1269"/>
      <c r="L29" s="1269"/>
      <c r="M29" s="1269"/>
      <c r="N29" s="1269"/>
      <c r="O29" s="1269"/>
      <c r="P29" s="1269"/>
      <c r="Q29" s="1269"/>
      <c r="R29" s="1269"/>
      <c r="S29" s="1269"/>
      <c r="T29" s="1269"/>
      <c r="U29" s="1269"/>
      <c r="V29" s="1269"/>
      <c r="W29" s="1269"/>
      <c r="X29" s="1269"/>
      <c r="Y29" s="1269"/>
      <c r="Z29" s="1269"/>
      <c r="AA29" s="1269"/>
      <c r="AB29" s="1269"/>
      <c r="AC29" s="1269"/>
      <c r="AD29" s="1269"/>
      <c r="AE29" s="1269"/>
      <c r="AH29" s="611"/>
      <c r="AI29" s="611"/>
    </row>
    <row r="30" spans="1:35" ht="24.95" customHeight="1" thickBot="1" x14ac:dyDescent="0.25">
      <c r="B30" s="451" t="s">
        <v>90</v>
      </c>
      <c r="C30" s="452" t="s">
        <v>91</v>
      </c>
      <c r="D30" s="448" t="s">
        <v>172</v>
      </c>
      <c r="E30" s="453" t="s">
        <v>92</v>
      </c>
      <c r="F30" s="449" t="s">
        <v>114</v>
      </c>
      <c r="G30" s="449" t="s">
        <v>96</v>
      </c>
      <c r="H30" s="449" t="s">
        <v>223</v>
      </c>
      <c r="I30" s="454" t="s">
        <v>103</v>
      </c>
      <c r="J30" s="454" t="s">
        <v>178</v>
      </c>
      <c r="K30" s="526" t="s">
        <v>225</v>
      </c>
      <c r="L30" s="526" t="s">
        <v>228</v>
      </c>
      <c r="M30" s="449" t="s">
        <v>97</v>
      </c>
      <c r="N30" s="527" t="s">
        <v>226</v>
      </c>
      <c r="O30" s="527" t="s">
        <v>227</v>
      </c>
      <c r="P30" s="527" t="s">
        <v>224</v>
      </c>
      <c r="Q30" s="527" t="s">
        <v>106</v>
      </c>
      <c r="R30" s="527" t="s">
        <v>181</v>
      </c>
      <c r="S30" s="527" t="s">
        <v>421</v>
      </c>
      <c r="T30" s="527" t="s">
        <v>195</v>
      </c>
      <c r="U30" s="527" t="s">
        <v>201</v>
      </c>
      <c r="V30" s="527" t="s">
        <v>179</v>
      </c>
      <c r="W30" s="527" t="s">
        <v>180</v>
      </c>
      <c r="X30" s="527" t="s">
        <v>193</v>
      </c>
      <c r="Y30" s="527" t="s">
        <v>194</v>
      </c>
      <c r="Z30" s="527" t="s">
        <v>418</v>
      </c>
      <c r="AA30" s="527" t="s">
        <v>417</v>
      </c>
      <c r="AB30" s="527" t="s">
        <v>105</v>
      </c>
      <c r="AC30" s="454" t="s">
        <v>93</v>
      </c>
      <c r="AD30" s="454" t="s">
        <v>94</v>
      </c>
      <c r="AE30" s="454" t="s">
        <v>95</v>
      </c>
      <c r="AH30" s="611"/>
      <c r="AI30" s="611"/>
    </row>
    <row r="31" spans="1:35" s="93" customFormat="1" ht="24.95" customHeight="1" thickTop="1" x14ac:dyDescent="0.2">
      <c r="A31" s="429" t="str">
        <f>IF('Loan Entry'!$M31&gt;0,DATE((G31+1),1,1),"")</f>
        <v/>
      </c>
      <c r="B31" s="314"/>
      <c r="C31" s="315"/>
      <c r="D31" s="315"/>
      <c r="E31" s="857"/>
      <c r="F31" s="316"/>
      <c r="G31" s="317"/>
      <c r="H31" s="418" t="str">
        <f>IF(I31&gt;0,ROUNDDOWN(Year+I31,0),"")</f>
        <v/>
      </c>
      <c r="I31" s="317"/>
      <c r="J31" s="317"/>
      <c r="K31" s="418" t="e">
        <f>IF(H31&gt;0,IF(H31-Year=0,"yes","no"),"")</f>
        <v>#VALUE!</v>
      </c>
      <c r="L31" s="418" t="str">
        <f>IF('Loan Entry'!$J31&gt;0,DATE(G31,INDEX(Inputs!$C$4:$D$15,MATCH(J31,Months,0),2),1),"")</f>
        <v/>
      </c>
      <c r="M31" s="317"/>
      <c r="N31" s="418" t="str">
        <f>IF(M31&lt;&gt;0,IF(AND(K31="yes",M31="Monthly")=TRUE,CHOOSE(R31,"January","February","March","April","May","June","July","August","September","October","November","December"),RIGHT(AB31,3)),"")</f>
        <v/>
      </c>
      <c r="O31" s="418" t="str">
        <f>IF('Loan Entry'!$M31&gt;0,'Loan Entry'!$I31*'Loan Entry'!$Q31,"")</f>
        <v/>
      </c>
      <c r="P31" s="418" t="str">
        <f>IF(M31&gt;0,(H31-(G31-1))*IF(M31="Monthly",12,IF(M31="Quarterly",4,IF(M31="Semi-Annual",2,1))),"")</f>
        <v/>
      </c>
      <c r="Q31" s="418" t="str">
        <f>IF(M31&gt;0,IF(M31="Monthly",12,IF(M31="Quarterly",4,IF(M31="Semi-Annual",2,1))),"")</f>
        <v/>
      </c>
      <c r="R31" s="418" t="str">
        <f>IF(M31&gt;0,IF(I31&lt;1,IF(M31="Annual",1,(YEARFRAC(L31,A31,))*IF(M31="Monthly",O31,IF(M31="quarterly",O31*3,IF(M31="semi-annual",O31*2,12)))),IF(M31="Annual",1,(YEARFRAC(L31,A31,))*12)),"")</f>
        <v/>
      </c>
      <c r="S31" s="418">
        <f>IF(M31&gt;0,INDEX(Inputs!$J$26:$K$37,MATCH('Loan Entry'!N31,Inputs!$J$26:$J$37,0),2)/12,0)</f>
        <v>0</v>
      </c>
      <c r="T31" s="418" t="str">
        <f>IF(M31&lt;&gt;0,IF(R31&gt;12,12,ROUNDUP(IF(M31="Monthly",12*(R31/Q31),IF(M31="Quarterly",((R31/12)*Q31),IF(M31="Semi-Annual",IF(((R31/12)*Q31)&gt;1,2,1),1))),0)),"")</f>
        <v/>
      </c>
      <c r="U31" s="418" t="str">
        <f>IF(M31&gt;0,T31/Q31,"")</f>
        <v/>
      </c>
      <c r="V31" s="418" t="str">
        <f>IF('Loan Entry'!$M31&gt;0,IF(U31=1,X31/T31,(X31/T31)),"")</f>
        <v/>
      </c>
      <c r="W31" s="418" t="str">
        <f>IF('Loan Entry'!$M31&gt;0,IF(U31=1,Y31/T31,U31*(Y31/T31)),"")</f>
        <v/>
      </c>
      <c r="X31" s="418" t="str">
        <f>IF(E31&gt;0,IF('Loan Entry'!$M31&lt;&gt;0,CUMPRINC((365/360)*E31/Q31,O31,F31,1,T31,0)*-1,),'Loan Entry'!$AC31)</f>
        <v/>
      </c>
      <c r="Y31" s="418">
        <f>IF(E31&gt;0,IF('Loan Entry'!$M31&lt;&gt;0,CUMIPMT(((365/360)*E31)/Q31,O31,F31,1,T31,0)*-1,),0)</f>
        <v>0</v>
      </c>
      <c r="Z31" s="418">
        <f>IF(ISERROR(S31*IF(E31&gt;0,IF('Loan Entry'!$M31&lt;&gt;0,CUMIPMT(((365/360)*E31)/Q31,O31,F31,1,T31,0)*-1,),0))=FALSE,S31*IF(E31&gt;0,IF('Loan Entry'!$M31&lt;&gt;0,CUMIPMT(((365/360)*E31)/Q31,O31,F31,1,T31,0)*-1,),0),0)</f>
        <v>0</v>
      </c>
      <c r="AA31" s="418">
        <f>IF(ISERROR(S31*IF(E31&gt;0,IF('Loan Entry'!$M31&lt;&gt;0,CUMIPMT(((365/360)*E31)/Q31,O31-T31,F31,1+T31,T31+T31,0)*-1,),0))=FALSE,S31*IF(E31&gt;0,IF('Loan Entry'!$M31&lt;&gt;0,CUMIPMT(((365/360)*E31)/Q31,O31-T31,F31,1+T31,T31+T31,0)*-1,),0),0)</f>
        <v>0</v>
      </c>
      <c r="AB31" s="418" t="str">
        <f>IF(M31&lt;&gt;0,IF(K31="no",IF(M31="annual",INDEX(Inputs!$C$4:$E$15,MATCH('Loan Entry'!J31,Months,0),3),IF(M31="semi-annual",IF(T31=2,CONCATENATE(INDEX(Inputs!$C$4:$E$15,MATCH('Loan Entry'!J31,Months,0),3),",",INDEX(Inputs!$C$4:$E$15,MATCH(MONTH(L31+190),Inputs!$D$4:$D$15,0),3)),INDEX(Inputs!$C$4:$E$15,MATCH('Loan Entry'!J31,Months,0),3)),IF(M31="Quarterly",IF(T31=4,CONCATENATE(INDEX(Inputs!$C$4:$E$15,MATCH('Loan Entry'!J31,Months,0),3),",",INDEX(Inputs!$C$4:$E$15,MATCH(MONTH(L31+95),Inputs!$D$4:$D$15,0),3),",",INDEX(Inputs!$C$4:$E$15,MATCH(MONTH(L31+190),Inputs!$D$4:$D$15,0),3),",",INDEX(Inputs!$C$4:$E$15,MATCH(MONTH(L31+275),Inputs!$D$4:$D$15,0),3)),IF(T31=3,CONCATENATE(INDEX(Inputs!$C$4:$E$15,MATCH('Loan Entry'!J31,Months,0),3),",",INDEX(Inputs!$C$4:$E$15,MATCH(MONTH(L31+95),Inputs!$D$4:$D$15,0),3),",",INDEX(Inputs!$C$4:$E$15,MATCH(MONTH(L31+190),Inputs!$D$4:$D$15,0),3)),IF(T31=2,CONCATENATE(INDEX(Inputs!$C$4:$E$15,MATCH('Loan Entry'!J31,Months,0),3),",",INDEX(Inputs!$C$4:$E$15,MATCH(MONTH(L31+95),Inputs!$D$4:$D$15,0),3)),INDEX(Inputs!$C$4:$E$15,MATCH('Loan Entry'!J31,Months,0),3)))),INDEX(Inputs!$C$4:$F$15,MATCH('Loan Entry'!J31,Months,0),4)))),IF(M31="annual",INDEX(Inputs!$C$4:$E$15,MATCH('Loan Entry'!J31,Months,0),3),IF(M31="semi-annual",IF(T31=2,CONCATENATE(INDEX(Inputs!$C$4:$E$15,MATCH('Loan Entry'!J31,Months,0),3),",",INDEX(Inputs!$C$4:$E$15,MATCH(MONTH(L31+190),Inputs!$D$4:$D$15,0),3)),INDEX(Inputs!$C$4:$E$15,MATCH('Loan Entry'!J31,Months,0),3)),IF(M31="Quarterly",IF(T31=4,CONCATENATE(INDEX(Inputs!$C$4:$E$15,MATCH('Loan Entry'!J31,Months,0),3),",",INDEX(Inputs!$C$4:$E$15,MATCH(MONTH(L31+95),Inputs!$D$4:$D$15,0),3),",",INDEX(Inputs!$C$4:$E$15,MATCH(MONTH(L31+190),Inputs!$D$4:$D$15,0),3),",",INDEX(Inputs!$C$4:$E$15,MATCH(MONTH(L31+275),Inputs!$D$4:$D$15,0),3)),IF(T31=3,CONCATENATE(INDEX(Inputs!$C$4:$E$15,MATCH('Loan Entry'!J31,Months,0),3),",",INDEX(Inputs!$C$4:$E$15,MATCH(MONTH(L31+95),Inputs!$D$4:$D$15,0),3),",",INDEX(Inputs!$C$4:$E$15,MATCH(MONTH(L31+190),Inputs!$D$4:$D$15,0),3)),IF(T31=2,CONCATENATE(INDEX(Inputs!$C$4:$E$15,MATCH('Loan Entry'!J31,Months,0),3),",",INDEX(Inputs!$C$4:$E$15,MATCH(MONTH(L31+95),Inputs!$D$4:$D$15,0),3)),INDEX(Inputs!$C$4:$G$15,MATCH('Loan Entry'!J31,Months,0),3)))),INDEX(Inputs!$C$4:$G$15,MATCH('Loan Entry'!N31,Months,0),5))))),"")</f>
        <v/>
      </c>
      <c r="AC31" s="842" t="str">
        <f>IF('Loan Entry'!$M31&gt;0,PMT((365/360)*'Loan Entry'!$E31/'Loan Entry'!$Q31,'Loan Entry'!$O31,'Loan Entry'!$F31*-1)*MIN('Loan Entry'!$Q31,O31),"")</f>
        <v/>
      </c>
      <c r="AD31" s="843" t="str">
        <f>IF(F31&gt;0,IF('Loan Entry'!$M31&lt;&gt;0,IF(U31=1,X31,IF(E31=0,U31*X31,X31)),'Loan Entry'!$AC31),"")</f>
        <v/>
      </c>
      <c r="AE31" s="848" t="str">
        <f>IF('Loan Entry'!$M31&gt;0,'Loan Entry'!$F31-'Loan Entry'!$AD31,"")</f>
        <v/>
      </c>
      <c r="AF31" s="596" t="str">
        <f>IF(AE31&gt;0,AC31,0)</f>
        <v/>
      </c>
      <c r="AG31" s="596"/>
      <c r="AH31" s="613" t="str">
        <f>IF(AE31&lt;&gt;0,IF(AE31&lt;AD31,AE31,IF(E31&gt;0,IF('Loan Entry'!$M31&lt;&gt;0,CUMPRINC(E31/Q31,(O31-T31),AE31,1,T31,0)*-1,),'Loan Entry'!$AC31)),0)</f>
        <v/>
      </c>
      <c r="AI31" s="613">
        <f>IF(M31&gt;0,AE31-AH31,0)</f>
        <v>0</v>
      </c>
    </row>
    <row r="32" spans="1:35" ht="24.95" customHeight="1" x14ac:dyDescent="0.2">
      <c r="A32" s="429" t="str">
        <f>IF('Loan Entry'!$M32&gt;0,DATE((G32+1),1,1),"")</f>
        <v/>
      </c>
      <c r="B32" s="318"/>
      <c r="C32" s="319"/>
      <c r="D32" s="319"/>
      <c r="E32" s="858"/>
      <c r="F32" s="320"/>
      <c r="G32" s="321"/>
      <c r="H32" s="419" t="str">
        <f>IF(I32&gt;0,ROUNDDOWN(Year+I32,0),"")</f>
        <v/>
      </c>
      <c r="I32" s="321"/>
      <c r="J32" s="321"/>
      <c r="K32" s="419" t="e">
        <f>IF(H32&gt;0,IF(H32-Year=0,"yes","no"),"")</f>
        <v>#VALUE!</v>
      </c>
      <c r="L32" s="419" t="str">
        <f>IF('Loan Entry'!$J32&gt;0,DATE(G32,INDEX(Inputs!$C$4:$D$15,MATCH(J32,Months,0),2),1),"")</f>
        <v/>
      </c>
      <c r="M32" s="321"/>
      <c r="N32" s="419" t="str">
        <f>IF(M32&lt;&gt;0,IF(AND(K32="yes",M32="Monthly")=TRUE,CHOOSE(R32,"January","February","March","April","May","June","July","August","September","October","November","December"),RIGHT(AB32,3)),"")</f>
        <v/>
      </c>
      <c r="O32" s="537" t="str">
        <f>IF('Loan Entry'!$M32&gt;0,'Loan Entry'!$I32*'Loan Entry'!$Q32,"")</f>
        <v/>
      </c>
      <c r="P32" s="537" t="str">
        <f>IF(M32&gt;0,(H32-(G32-1))*IF(M32="Monthly",12,IF(M32="Quarterly",4,IF(M32="Semi-Annual",2,1))),"")</f>
        <v/>
      </c>
      <c r="Q32" s="537" t="str">
        <f>IF(M32&gt;0,IF(M32="Monthly",12,IF(M32="Quarterly",4,IF(M32="Semi-Annual",2,1))),"")</f>
        <v/>
      </c>
      <c r="R32" s="537" t="str">
        <f>IF(M32&gt;0,IF(I32&lt;1,IF(M32="Annual",1,(YEARFRAC(L32,A32,))*IF(M32="Monthly",O32,IF(M32="quarterly",O32*3,IF(M32="semi-annual",O32*2,12)))),IF(M32="Annual",1,(YEARFRAC(L32,A32,))*12)),"")</f>
        <v/>
      </c>
      <c r="S32" s="537">
        <f>IF(M32&gt;0,INDEX(Inputs!$J$26:$K$37,MATCH('Loan Entry'!N32,Inputs!$J$26:$J$37,0),2)/12,0)</f>
        <v>0</v>
      </c>
      <c r="T32" s="537" t="str">
        <f>IF(M32&lt;&gt;0,IF(R32&gt;12,12,ROUNDUP(IF(M32="Monthly",12*(R32/Q32),IF(M32="Quarterly",((R32/12)*Q32),IF(M32="Semi-Annual",IF(((R32/12)*Q32)&gt;1,2,1),1))),0)),"")</f>
        <v/>
      </c>
      <c r="U32" s="537" t="str">
        <f>IF(M32&gt;0,T32/Q32,"")</f>
        <v/>
      </c>
      <c r="V32" s="537" t="str">
        <f>IF('Loan Entry'!$M32&gt;0,IF(U32=1,X32/T32,(X32/T32)),"")</f>
        <v/>
      </c>
      <c r="W32" s="537" t="str">
        <f>IF('Loan Entry'!$M32&gt;0,IF(U32=1,Y32/T32,U32*(Y32/T32)),"")</f>
        <v/>
      </c>
      <c r="X32" s="537" t="str">
        <f>IF(E32&gt;0,IF('Loan Entry'!$M32&lt;&gt;0,CUMPRINC((365/360)*E32/Q32,O32,F32,1,T32,0)*-1,),'Loan Entry'!$AC32)</f>
        <v/>
      </c>
      <c r="Y32" s="537">
        <f>IF(E32&gt;0,IF('Loan Entry'!$M32&lt;&gt;0,CUMIPMT(((365/360)*E32)/Q32,O32,F32,1,T32,0)*-1,),0)</f>
        <v>0</v>
      </c>
      <c r="Z32" s="537">
        <f>IF(ISERROR(S32*IF(E32&gt;0,IF('Loan Entry'!$M32&lt;&gt;0,CUMIPMT(((365/360)*E32)/Q32,O32,F32,1,T32,0)*-1,),0))=FALSE,S32*IF(E32&gt;0,IF('Loan Entry'!$M32&lt;&gt;0,CUMIPMT(((365/360)*E32)/Q32,O32,F32,1,T32,0)*-1,),0),0)</f>
        <v>0</v>
      </c>
      <c r="AA32" s="537">
        <f>IF(ISERROR(S32*IF(E32&gt;0,IF('Loan Entry'!$M32&lt;&gt;0,CUMIPMT(((365/360)*E32)/Q32,O32-T32,F32,1+T32,T32+T32,0)*-1,),0))=FALSE,S32*IF(E32&gt;0,IF('Loan Entry'!$M32&lt;&gt;0,CUMIPMT(((365/360)*E32)/Q32,O32-T32,F32,1+T32,T32+T32,0)*-1,),0),0)</f>
        <v>0</v>
      </c>
      <c r="AB32" s="537" t="str">
        <f>IF(M32&lt;&gt;0,IF(K32="no",IF(M32="annual",INDEX(Inputs!$C$4:$E$15,MATCH('Loan Entry'!J32,Months,0),3),IF(M32="semi-annual",IF(T32=2,CONCATENATE(INDEX(Inputs!$C$4:$E$15,MATCH('Loan Entry'!J32,Months,0),3),",",INDEX(Inputs!$C$4:$E$15,MATCH(MONTH(L32+190),Inputs!$D$4:$D$15,0),3)),INDEX(Inputs!$C$4:$E$15,MATCH('Loan Entry'!J32,Months,0),3)),IF(M32="Quarterly",IF(T32=4,CONCATENATE(INDEX(Inputs!$C$4:$E$15,MATCH('Loan Entry'!J32,Months,0),3),",",INDEX(Inputs!$C$4:$E$15,MATCH(MONTH(L32+95),Inputs!$D$4:$D$15,0),3),",",INDEX(Inputs!$C$4:$E$15,MATCH(MONTH(L32+190),Inputs!$D$4:$D$15,0),3),",",INDEX(Inputs!$C$4:$E$15,MATCH(MONTH(L32+275),Inputs!$D$4:$D$15,0),3)),IF(T32=3,CONCATENATE(INDEX(Inputs!$C$4:$E$15,MATCH('Loan Entry'!J32,Months,0),3),",",INDEX(Inputs!$C$4:$E$15,MATCH(MONTH(L32+95),Inputs!$D$4:$D$15,0),3),",",INDEX(Inputs!$C$4:$E$15,MATCH(MONTH(L32+190),Inputs!$D$4:$D$15,0),3)),IF(T32=2,CONCATENATE(INDEX(Inputs!$C$4:$E$15,MATCH('Loan Entry'!J32,Months,0),3),",",INDEX(Inputs!$C$4:$E$15,MATCH(MONTH(L32+95),Inputs!$D$4:$D$15,0),3)),INDEX(Inputs!$C$4:$E$15,MATCH('Loan Entry'!J32,Months,0),3)))),INDEX(Inputs!$C$4:$F$15,MATCH('Loan Entry'!J32,Months,0),4)))),IF(M32="annual",INDEX(Inputs!$C$4:$E$15,MATCH('Loan Entry'!J32,Months,0),3),IF(M32="semi-annual",IF(T32=2,CONCATENATE(INDEX(Inputs!$C$4:$E$15,MATCH('Loan Entry'!J32,Months,0),3),",",INDEX(Inputs!$C$4:$E$15,MATCH(MONTH(L32+190),Inputs!$D$4:$D$15,0),3)),INDEX(Inputs!$C$4:$E$15,MATCH('Loan Entry'!J32,Months,0),3)),IF(M32="Quarterly",IF(T32=4,CONCATENATE(INDEX(Inputs!$C$4:$E$15,MATCH('Loan Entry'!J32,Months,0),3),",",INDEX(Inputs!$C$4:$E$15,MATCH(MONTH(L32+95),Inputs!$D$4:$D$15,0),3),",",INDEX(Inputs!$C$4:$E$15,MATCH(MONTH(L32+190),Inputs!$D$4:$D$15,0),3),",",INDEX(Inputs!$C$4:$E$15,MATCH(MONTH(L32+275),Inputs!$D$4:$D$15,0),3)),IF(T32=3,CONCATENATE(INDEX(Inputs!$C$4:$E$15,MATCH('Loan Entry'!J32,Months,0),3),",",INDEX(Inputs!$C$4:$E$15,MATCH(MONTH(L32+95),Inputs!$D$4:$D$15,0),3),",",INDEX(Inputs!$C$4:$E$15,MATCH(MONTH(L32+190),Inputs!$D$4:$D$15,0),3)),IF(T32=2,CONCATENATE(INDEX(Inputs!$C$4:$E$15,MATCH('Loan Entry'!J32,Months,0),3),",",INDEX(Inputs!$C$4:$E$15,MATCH(MONTH(L32+95),Inputs!$D$4:$D$15,0),3)),INDEX(Inputs!$C$4:$G$15,MATCH('Loan Entry'!J32,Months,0),3)))),INDEX(Inputs!$C$4:$G$15,MATCH('Loan Entry'!N32,Months,0),5))))),"")</f>
        <v/>
      </c>
      <c r="AC32" s="844" t="str">
        <f>IF('Loan Entry'!$M32&gt;0,PMT((365/360)*'Loan Entry'!$E32/'Loan Entry'!$Q32,'Loan Entry'!$O32,'Loan Entry'!$F32*-1)*MIN('Loan Entry'!$Q32,O32),"")</f>
        <v/>
      </c>
      <c r="AD32" s="845" t="str">
        <f>IF(F32&gt;0,IF('Loan Entry'!$M32&lt;&gt;0,IF(U32=1,X32,IF(E32=0,U32*X32,X32)),'Loan Entry'!$AC32),"")</f>
        <v/>
      </c>
      <c r="AE32" s="849" t="str">
        <f>IF('Loan Entry'!$M32&gt;0,'Loan Entry'!$F32-'Loan Entry'!$AD32,"")</f>
        <v/>
      </c>
      <c r="AF32" s="595" t="str">
        <f>IF(AE32&gt;0,AC32,0)</f>
        <v/>
      </c>
      <c r="AG32" s="595"/>
      <c r="AH32" s="611" t="str">
        <f>IF(AE32&lt;&gt;0,IF(AE32&lt;AD32,AE32,IF(E32&gt;0,IF('Loan Entry'!$M32&lt;&gt;0,CUMPRINC(E32/Q32,(O32-T32),AE32,1,T32,0)*-1,),'Loan Entry'!$AC32)),0)</f>
        <v/>
      </c>
      <c r="AI32" s="611">
        <f>IF(M32&gt;0,AE32-AH32,0)</f>
        <v>0</v>
      </c>
    </row>
    <row r="33" spans="1:35" ht="24.95" customHeight="1" x14ac:dyDescent="0.2">
      <c r="A33" s="429" t="str">
        <f>IF('Loan Entry'!$M33&gt;0,DATE((G33+1),1,1),"")</f>
        <v/>
      </c>
      <c r="B33" s="322"/>
      <c r="C33" s="323"/>
      <c r="D33" s="323"/>
      <c r="E33" s="859"/>
      <c r="F33" s="324"/>
      <c r="G33" s="325"/>
      <c r="H33" s="420" t="str">
        <f>IF(I33&gt;0,ROUNDDOWN(Year+I33,0),"")</f>
        <v/>
      </c>
      <c r="I33" s="325"/>
      <c r="J33" s="325"/>
      <c r="K33" s="420" t="e">
        <f>IF(H33&gt;0,IF(H33-Year=0,"yes","no"),"")</f>
        <v>#VALUE!</v>
      </c>
      <c r="L33" s="420" t="str">
        <f>IF('Loan Entry'!$J33&gt;0,DATE(G33,INDEX(Inputs!$C$4:$D$15,MATCH(J33,Months,0),2),1),"")</f>
        <v/>
      </c>
      <c r="M33" s="325"/>
      <c r="N33" s="420" t="str">
        <f>IF(M33&lt;&gt;0,IF(AND(K33="yes",M33="Monthly")=TRUE,CHOOSE(R33,"January","February","March","April","May","June","July","August","September","October","November","December"),RIGHT(AB33,3)),"")</f>
        <v/>
      </c>
      <c r="O33" s="539" t="str">
        <f>IF('Loan Entry'!$M33&gt;0,'Loan Entry'!$I33*'Loan Entry'!$Q33,"")</f>
        <v/>
      </c>
      <c r="P33" s="539" t="str">
        <f>IF(M33&gt;0,(H33-(G33-1))*IF(M33="Monthly",12,IF(M33="Quarterly",4,IF(M33="Semi-Annual",2,1))),"")</f>
        <v/>
      </c>
      <c r="Q33" s="539" t="str">
        <f>IF(M33&gt;0,IF(M33="Monthly",12,IF(M33="Quarterly",4,IF(M33="Semi-Annual",2,1))),"")</f>
        <v/>
      </c>
      <c r="R33" s="539" t="str">
        <f>IF(M33&gt;0,IF(I33&lt;1,IF(M33="Annual",1,(YEARFRAC(L33,A33,))*IF(M33="Monthly",O33,IF(M33="quarterly",O33*3,IF(M33="semi-annual",O33*2,12)))),IF(M33="Annual",1,(YEARFRAC(L33,A33,))*12)),"")</f>
        <v/>
      </c>
      <c r="S33" s="539">
        <f>IF(M33&gt;0,INDEX(Inputs!$J$26:$K$37,MATCH('Loan Entry'!N33,Inputs!$J$26:$J$37,0),2)/12,0)</f>
        <v>0</v>
      </c>
      <c r="T33" s="539" t="str">
        <f>IF(M33&lt;&gt;0,IF(R33&gt;12,12,ROUNDUP(IF(M33="Monthly",12*(R33/Q33),IF(M33="Quarterly",((R33/12)*Q33),IF(M33="Semi-Annual",IF(((R33/12)*Q33)&gt;1,2,1),1))),0)),"")</f>
        <v/>
      </c>
      <c r="U33" s="539" t="str">
        <f>IF(M33&gt;0,T33/Q33,"")</f>
        <v/>
      </c>
      <c r="V33" s="539" t="str">
        <f>IF('Loan Entry'!$M33&gt;0,IF(U33=1,X33/T33,(X33/T33)),"")</f>
        <v/>
      </c>
      <c r="W33" s="539" t="str">
        <f>IF('Loan Entry'!$M33&gt;0,IF(U33=1,Y33/T33,U33*(Y33/T33)),"")</f>
        <v/>
      </c>
      <c r="X33" s="539" t="str">
        <f>IF(E33&gt;0,IF('Loan Entry'!$M33&lt;&gt;0,CUMPRINC((365/360)*E33/Q33,O33,F33,1,T33,0)*-1,),'Loan Entry'!$AC33)</f>
        <v/>
      </c>
      <c r="Y33" s="539">
        <f>IF(E33&gt;0,IF('Loan Entry'!$M33&lt;&gt;0,CUMIPMT(((365/360)*E33)/Q33,O33,F33,1,T33,0)*-1,),0)</f>
        <v>0</v>
      </c>
      <c r="Z33" s="539">
        <f>IF(ISERROR(S33*IF(E33&gt;0,IF('Loan Entry'!$M33&lt;&gt;0,CUMIPMT(((365/360)*E33)/Q33,O33,F33,1,T33,0)*-1,),0))=FALSE,S33*IF(E33&gt;0,IF('Loan Entry'!$M33&lt;&gt;0,CUMIPMT(((365/360)*E33)/Q33,O33,F33,1,T33,0)*-1,),0),0)</f>
        <v>0</v>
      </c>
      <c r="AA33" s="539">
        <f>IF(ISERROR(S33*IF(E33&gt;0,IF('Loan Entry'!$M33&lt;&gt;0,CUMIPMT(((365/360)*E33)/Q33,O33-T33,F33,1+T33,T33+T33,0)*-1,),0))=FALSE,S33*IF(E33&gt;0,IF('Loan Entry'!$M33&lt;&gt;0,CUMIPMT(((365/360)*E33)/Q33,O33-T33,F33,1+T33,T33+T33,0)*-1,),0),0)</f>
        <v>0</v>
      </c>
      <c r="AB33" s="539" t="str">
        <f>IF(M33&lt;&gt;0,IF(K33="no",IF(M33="annual",INDEX(Inputs!$C$4:$E$15,MATCH('Loan Entry'!J33,Months,0),3),IF(M33="semi-annual",IF(T33=2,CONCATENATE(INDEX(Inputs!$C$4:$E$15,MATCH('Loan Entry'!J33,Months,0),3),",",INDEX(Inputs!$C$4:$E$15,MATCH(MONTH(L33+190),Inputs!$D$4:$D$15,0),3)),INDEX(Inputs!$C$4:$E$15,MATCH('Loan Entry'!J33,Months,0),3)),IF(M33="Quarterly",IF(T33=4,CONCATENATE(INDEX(Inputs!$C$4:$E$15,MATCH('Loan Entry'!J33,Months,0),3),",",INDEX(Inputs!$C$4:$E$15,MATCH(MONTH(L33+95),Inputs!$D$4:$D$15,0),3),",",INDEX(Inputs!$C$4:$E$15,MATCH(MONTH(L33+190),Inputs!$D$4:$D$15,0),3),",",INDEX(Inputs!$C$4:$E$15,MATCH(MONTH(L33+275),Inputs!$D$4:$D$15,0),3)),IF(T33=3,CONCATENATE(INDEX(Inputs!$C$4:$E$15,MATCH('Loan Entry'!J33,Months,0),3),",",INDEX(Inputs!$C$4:$E$15,MATCH(MONTH(L33+95),Inputs!$D$4:$D$15,0),3),",",INDEX(Inputs!$C$4:$E$15,MATCH(MONTH(L33+190),Inputs!$D$4:$D$15,0),3)),IF(T33=2,CONCATENATE(INDEX(Inputs!$C$4:$E$15,MATCH('Loan Entry'!J33,Months,0),3),",",INDEX(Inputs!$C$4:$E$15,MATCH(MONTH(L33+95),Inputs!$D$4:$D$15,0),3)),INDEX(Inputs!$C$4:$E$15,MATCH('Loan Entry'!J33,Months,0),3)))),INDEX(Inputs!$C$4:$F$15,MATCH('Loan Entry'!J33,Months,0),4)))),IF(M33="annual",INDEX(Inputs!$C$4:$E$15,MATCH('Loan Entry'!J33,Months,0),3),IF(M33="semi-annual",IF(T33=2,CONCATENATE(INDEX(Inputs!$C$4:$E$15,MATCH('Loan Entry'!J33,Months,0),3),",",INDEX(Inputs!$C$4:$E$15,MATCH(MONTH(L33+190),Inputs!$D$4:$D$15,0),3)),INDEX(Inputs!$C$4:$E$15,MATCH('Loan Entry'!J33,Months,0),3)),IF(M33="Quarterly",IF(T33=4,CONCATENATE(INDEX(Inputs!$C$4:$E$15,MATCH('Loan Entry'!J33,Months,0),3),",",INDEX(Inputs!$C$4:$E$15,MATCH(MONTH(L33+95),Inputs!$D$4:$D$15,0),3),",",INDEX(Inputs!$C$4:$E$15,MATCH(MONTH(L33+190),Inputs!$D$4:$D$15,0),3),",",INDEX(Inputs!$C$4:$E$15,MATCH(MONTH(L33+275),Inputs!$D$4:$D$15,0),3)),IF(T33=3,CONCATENATE(INDEX(Inputs!$C$4:$E$15,MATCH('Loan Entry'!J33,Months,0),3),",",INDEX(Inputs!$C$4:$E$15,MATCH(MONTH(L33+95),Inputs!$D$4:$D$15,0),3),",",INDEX(Inputs!$C$4:$E$15,MATCH(MONTH(L33+190),Inputs!$D$4:$D$15,0),3)),IF(T33=2,CONCATENATE(INDEX(Inputs!$C$4:$E$15,MATCH('Loan Entry'!J33,Months,0),3),",",INDEX(Inputs!$C$4:$E$15,MATCH(MONTH(L33+95),Inputs!$D$4:$D$15,0),3)),INDEX(Inputs!$C$4:$G$15,MATCH('Loan Entry'!J33,Months,0),3)))),INDEX(Inputs!$C$4:$G$15,MATCH('Loan Entry'!N33,Months,0),5))))),"")</f>
        <v/>
      </c>
      <c r="AC33" s="846" t="str">
        <f>IF('Loan Entry'!$M33&gt;0,PMT((365/360)*'Loan Entry'!$E33/'Loan Entry'!$Q33,'Loan Entry'!$O33,'Loan Entry'!$F33*-1)*MIN('Loan Entry'!$Q33,O33),"")</f>
        <v/>
      </c>
      <c r="AD33" s="847" t="str">
        <f>IF(F33&gt;0,IF('Loan Entry'!$M33&lt;&gt;0,IF(U33=1,X33,IF(E33=0,U33*X33,X33)),'Loan Entry'!$AC33),"")</f>
        <v/>
      </c>
      <c r="AE33" s="850" t="str">
        <f>IF('Loan Entry'!$M33&gt;0,'Loan Entry'!$F33-'Loan Entry'!$AD33,"")</f>
        <v/>
      </c>
      <c r="AF33" s="595" t="str">
        <f>IF(AE33&gt;0,AC33,0)</f>
        <v/>
      </c>
      <c r="AG33" s="595"/>
      <c r="AH33" s="611" t="str">
        <f>IF(AE33&lt;&gt;0,IF(AE33&lt;AD33,AE33,IF(E33&gt;0,IF('Loan Entry'!$M33&lt;&gt;0,CUMPRINC(E33/Q33,(O33-T33),AE33,1,T33,0)*-1,),'Loan Entry'!$AC33)),0)</f>
        <v/>
      </c>
      <c r="AI33" s="611">
        <f>IF(M33&gt;0,AE33-AH33,0)</f>
        <v>0</v>
      </c>
    </row>
    <row r="34" spans="1:35" ht="24.95" customHeight="1" x14ac:dyDescent="0.2">
      <c r="A34" s="429" t="str">
        <f>IF('Loan Entry'!$M34&gt;0,DATE((G34+1),1,1),"")</f>
        <v/>
      </c>
      <c r="B34" s="318"/>
      <c r="C34" s="319"/>
      <c r="D34" s="319"/>
      <c r="E34" s="858"/>
      <c r="F34" s="320"/>
      <c r="G34" s="321"/>
      <c r="H34" s="419" t="str">
        <f>IF(I34&gt;0,ROUNDDOWN(Year+I34,0),"")</f>
        <v/>
      </c>
      <c r="I34" s="321"/>
      <c r="J34" s="321"/>
      <c r="K34" s="419" t="e">
        <f>IF(H34&gt;0,IF(H34-Year=0,"yes","no"),"")</f>
        <v>#VALUE!</v>
      </c>
      <c r="L34" s="419" t="str">
        <f>IF('Loan Entry'!$J34&gt;0,DATE(G34,INDEX(Inputs!$C$4:$D$15,MATCH(J34,Months,0),2),1),"")</f>
        <v/>
      </c>
      <c r="M34" s="321"/>
      <c r="N34" s="419" t="str">
        <f>IF(M34&lt;&gt;0,IF(AND(K34="yes",M34="Monthly")=TRUE,CHOOSE(R34,"January","February","March","April","May","June","July","August","September","October","November","December"),RIGHT(AB34,3)),"")</f>
        <v/>
      </c>
      <c r="O34" s="537" t="str">
        <f>IF('Loan Entry'!$M34&gt;0,'Loan Entry'!$I34*'Loan Entry'!$Q34,"")</f>
        <v/>
      </c>
      <c r="P34" s="537" t="str">
        <f>IF(M34&gt;0,(H34-(G34-1))*IF(M34="Monthly",12,IF(M34="Quarterly",4,IF(M34="Semi-Annual",2,1))),"")</f>
        <v/>
      </c>
      <c r="Q34" s="537" t="str">
        <f>IF(M34&gt;0,IF(M34="Monthly",12,IF(M34="Quarterly",4,IF(M34="Semi-Annual",2,1))),"")</f>
        <v/>
      </c>
      <c r="R34" s="537" t="str">
        <f>IF(M34&gt;0,IF(I34&lt;1,IF(M34="Annual",1,(YEARFRAC(L34,A34,))*IF(M34="Monthly",O34,IF(M34="quarterly",O34*3,IF(M34="semi-annual",O34*2,12)))),IF(M34="Annual",1,(YEARFRAC(L34,A34,))*12)),"")</f>
        <v/>
      </c>
      <c r="S34" s="537">
        <f>IF(M34&gt;0,INDEX(Inputs!$J$26:$K$37,MATCH('Loan Entry'!N34,Inputs!$J$26:$J$37,0),2)/12,0)</f>
        <v>0</v>
      </c>
      <c r="T34" s="537" t="str">
        <f>IF(M34&lt;&gt;0,IF(R34&gt;12,12,ROUNDUP(IF(M34="Monthly",12*(R34/Q34),IF(M34="Quarterly",((R34/12)*Q34),IF(M34="Semi-Annual",IF(((R34/12)*Q34)&gt;1,2,1),1))),0)),"")</f>
        <v/>
      </c>
      <c r="U34" s="537" t="str">
        <f>IF(M34&gt;0,T34/Q34,"")</f>
        <v/>
      </c>
      <c r="V34" s="537" t="str">
        <f>IF('Loan Entry'!$M34&gt;0,IF(U34=1,X34/T34,(X34/T34)),"")</f>
        <v/>
      </c>
      <c r="W34" s="537" t="str">
        <f>IF('Loan Entry'!$M34&gt;0,IF(U34=1,Y34/T34,U34*(Y34/T34)),"")</f>
        <v/>
      </c>
      <c r="X34" s="537" t="str">
        <f>IF(E34&gt;0,IF('Loan Entry'!$M34&lt;&gt;0,CUMPRINC((365/360)*E34/Q34,O34,F34,1,T34,0)*-1,),'Loan Entry'!$AC34)</f>
        <v/>
      </c>
      <c r="Y34" s="537">
        <f>IF(E34&gt;0,IF('Loan Entry'!$M34&lt;&gt;0,CUMIPMT(((365/360)*E34)/Q34,O34,F34,1,T34,0)*-1,),0)</f>
        <v>0</v>
      </c>
      <c r="Z34" s="537">
        <f>IF(ISERROR(S34*IF(E34&gt;0,IF('Loan Entry'!$M34&lt;&gt;0,CUMIPMT(((365/360)*E34)/Q34,O34,F34,1,T34,0)*-1,),0))=FALSE,S34*IF(E34&gt;0,IF('Loan Entry'!$M34&lt;&gt;0,CUMIPMT(((365/360)*E34)/Q34,O34,F34,1,T34,0)*-1,),0),0)</f>
        <v>0</v>
      </c>
      <c r="AA34" s="537">
        <f>IF(ISERROR(S34*IF(E34&gt;0,IF('Loan Entry'!$M34&lt;&gt;0,CUMIPMT(((365/360)*E34)/Q34,O34-T34,F34,1+T34,T34+T34,0)*-1,),0))=FALSE,S34*IF(E34&gt;0,IF('Loan Entry'!$M34&lt;&gt;0,CUMIPMT(((365/360)*E34)/Q34,O34-T34,F34,1+T34,T34+T34,0)*-1,),0),0)</f>
        <v>0</v>
      </c>
      <c r="AB34" s="537" t="str">
        <f>IF(M34&lt;&gt;0,IF(K34="no",IF(M34="annual",INDEX(Inputs!$C$4:$E$15,MATCH('Loan Entry'!J34,Months,0),3),IF(M34="semi-annual",IF(T34=2,CONCATENATE(INDEX(Inputs!$C$4:$E$15,MATCH('Loan Entry'!J34,Months,0),3),",",INDEX(Inputs!$C$4:$E$15,MATCH(MONTH(L34+190),Inputs!$D$4:$D$15,0),3)),INDEX(Inputs!$C$4:$E$15,MATCH('Loan Entry'!J34,Months,0),3)),IF(M34="Quarterly",IF(T34=4,CONCATENATE(INDEX(Inputs!$C$4:$E$15,MATCH('Loan Entry'!J34,Months,0),3),",",INDEX(Inputs!$C$4:$E$15,MATCH(MONTH(L34+95),Inputs!$D$4:$D$15,0),3),",",INDEX(Inputs!$C$4:$E$15,MATCH(MONTH(L34+190),Inputs!$D$4:$D$15,0),3),",",INDEX(Inputs!$C$4:$E$15,MATCH(MONTH(L34+275),Inputs!$D$4:$D$15,0),3)),IF(T34=3,CONCATENATE(INDEX(Inputs!$C$4:$E$15,MATCH('Loan Entry'!J34,Months,0),3),",",INDEX(Inputs!$C$4:$E$15,MATCH(MONTH(L34+95),Inputs!$D$4:$D$15,0),3),",",INDEX(Inputs!$C$4:$E$15,MATCH(MONTH(L34+190),Inputs!$D$4:$D$15,0),3)),IF(T34=2,CONCATENATE(INDEX(Inputs!$C$4:$E$15,MATCH('Loan Entry'!J34,Months,0),3),",",INDEX(Inputs!$C$4:$E$15,MATCH(MONTH(L34+95),Inputs!$D$4:$D$15,0),3)),INDEX(Inputs!$C$4:$E$15,MATCH('Loan Entry'!J34,Months,0),3)))),INDEX(Inputs!$C$4:$F$15,MATCH('Loan Entry'!J34,Months,0),4)))),IF(M34="annual",INDEX(Inputs!$C$4:$E$15,MATCH('Loan Entry'!J34,Months,0),3),IF(M34="semi-annual",IF(T34=2,CONCATENATE(INDEX(Inputs!$C$4:$E$15,MATCH('Loan Entry'!J34,Months,0),3),",",INDEX(Inputs!$C$4:$E$15,MATCH(MONTH(L34+190),Inputs!$D$4:$D$15,0),3)),INDEX(Inputs!$C$4:$E$15,MATCH('Loan Entry'!J34,Months,0),3)),IF(M34="Quarterly",IF(T34=4,CONCATENATE(INDEX(Inputs!$C$4:$E$15,MATCH('Loan Entry'!J34,Months,0),3),",",INDEX(Inputs!$C$4:$E$15,MATCH(MONTH(L34+95),Inputs!$D$4:$D$15,0),3),",",INDEX(Inputs!$C$4:$E$15,MATCH(MONTH(L34+190),Inputs!$D$4:$D$15,0),3),",",INDEX(Inputs!$C$4:$E$15,MATCH(MONTH(L34+275),Inputs!$D$4:$D$15,0),3)),IF(T34=3,CONCATENATE(INDEX(Inputs!$C$4:$E$15,MATCH('Loan Entry'!J34,Months,0),3),",",INDEX(Inputs!$C$4:$E$15,MATCH(MONTH(L34+95),Inputs!$D$4:$D$15,0),3),",",INDEX(Inputs!$C$4:$E$15,MATCH(MONTH(L34+190),Inputs!$D$4:$D$15,0),3)),IF(T34=2,CONCATENATE(INDEX(Inputs!$C$4:$E$15,MATCH('Loan Entry'!J34,Months,0),3),",",INDEX(Inputs!$C$4:$E$15,MATCH(MONTH(L34+95),Inputs!$D$4:$D$15,0),3)),INDEX(Inputs!$C$4:$G$15,MATCH('Loan Entry'!J34,Months,0),3)))),INDEX(Inputs!$C$4:$G$15,MATCH('Loan Entry'!N34,Months,0),5))))),"")</f>
        <v/>
      </c>
      <c r="AC34" s="844" t="str">
        <f>IF('Loan Entry'!$M34&gt;0,PMT((365/360)*'Loan Entry'!$E34/'Loan Entry'!$Q34,'Loan Entry'!$O34,'Loan Entry'!$F34*-1)*MIN('Loan Entry'!$Q34,O34),"")</f>
        <v/>
      </c>
      <c r="AD34" s="845" t="str">
        <f>IF(F34&gt;0,IF('Loan Entry'!$M34&lt;&gt;0,IF(U34=1,X34,IF(E34=0,U34*X34,X34)),'Loan Entry'!$AC34),"")</f>
        <v/>
      </c>
      <c r="AE34" s="849" t="str">
        <f>IF('Loan Entry'!$M34&gt;0,'Loan Entry'!$F34-'Loan Entry'!$AD34,"")</f>
        <v/>
      </c>
      <c r="AH34" s="611" t="str">
        <f>IF(AE34&lt;&gt;0,IF(AE34&lt;AD34,AE34,IF(E34&gt;0,IF('Loan Entry'!$M34&lt;&gt;0,CUMPRINC(E34/Q34,(O34-T34),AE34,1,T34,0)*-1,),'Loan Entry'!$AC34)),0)</f>
        <v/>
      </c>
      <c r="AI34" s="611">
        <f>IF(M34&gt;0,AE34-AH34,0)</f>
        <v>0</v>
      </c>
    </row>
    <row r="35" spans="1:35" ht="24.95" customHeight="1" x14ac:dyDescent="0.2">
      <c r="B35" s="1267" t="str">
        <f>CONCATENATE("Sub-Total ",B29)</f>
        <v>Sub-Total Business Vehicle Loans</v>
      </c>
      <c r="C35" s="1267"/>
      <c r="D35" s="1267"/>
      <c r="E35" s="1267"/>
      <c r="F35" s="1267"/>
      <c r="G35" s="1267"/>
      <c r="H35" s="1267"/>
      <c r="I35" s="1267"/>
      <c r="J35" s="1267"/>
      <c r="K35" s="1267"/>
      <c r="L35" s="1267"/>
      <c r="M35" s="1267"/>
      <c r="N35" s="1267"/>
      <c r="O35" s="1267"/>
      <c r="P35" s="1267"/>
      <c r="Q35" s="1267"/>
      <c r="R35" s="1267"/>
      <c r="S35" s="1267"/>
      <c r="T35" s="1267"/>
      <c r="U35" s="1267"/>
      <c r="V35" s="1267"/>
      <c r="W35" s="1267"/>
      <c r="X35" s="1267"/>
      <c r="Y35" s="1267"/>
      <c r="Z35" s="1267"/>
      <c r="AA35" s="1267"/>
      <c r="AB35" s="1267"/>
      <c r="AC35" s="1267"/>
      <c r="AD35" s="260">
        <f>SUM('Loan Entry'!$AD$31:$AD$34)</f>
        <v>0</v>
      </c>
      <c r="AE35" s="260">
        <f>SUM('Loan Entry'!$AE$31:$AE$34)</f>
        <v>0</v>
      </c>
      <c r="AH35" s="611">
        <f>SUM(AH31:AH34)</f>
        <v>0</v>
      </c>
      <c r="AI35" s="611">
        <f>SUM(AI31:AI34)</f>
        <v>0</v>
      </c>
    </row>
    <row r="36" spans="1:35" ht="24.95" customHeight="1" x14ac:dyDescent="0.2">
      <c r="B36" s="552"/>
      <c r="C36" s="552"/>
      <c r="D36" s="552"/>
      <c r="E36" s="552"/>
      <c r="F36" s="552"/>
      <c r="G36" s="552"/>
      <c r="H36" s="552"/>
      <c r="I36" s="552"/>
      <c r="J36" s="552"/>
      <c r="K36" s="552"/>
      <c r="L36" s="552"/>
      <c r="M36" s="552"/>
      <c r="N36" s="552"/>
      <c r="O36" s="552"/>
      <c r="P36" s="552"/>
      <c r="Q36" s="552"/>
      <c r="R36" s="552"/>
      <c r="S36" s="601"/>
      <c r="T36" s="552"/>
      <c r="U36" s="552"/>
      <c r="V36" s="552"/>
      <c r="W36" s="552"/>
      <c r="X36" s="552"/>
      <c r="Y36" s="552"/>
      <c r="Z36" s="601"/>
      <c r="AA36" s="601"/>
      <c r="AB36" s="552"/>
      <c r="AC36" s="552"/>
      <c r="AD36" s="260"/>
      <c r="AE36" s="260"/>
      <c r="AH36" s="611"/>
      <c r="AI36" s="611"/>
    </row>
    <row r="37" spans="1:35" ht="24.95" customHeight="1" x14ac:dyDescent="0.2">
      <c r="B37" s="1269" t="s">
        <v>264</v>
      </c>
      <c r="C37" s="1269"/>
      <c r="D37" s="1269"/>
      <c r="E37" s="1269"/>
      <c r="F37" s="1269"/>
      <c r="G37" s="1269"/>
      <c r="H37" s="1269"/>
      <c r="I37" s="1269"/>
      <c r="J37" s="1269"/>
      <c r="K37" s="1269"/>
      <c r="L37" s="1269"/>
      <c r="M37" s="1269"/>
      <c r="N37" s="1269"/>
      <c r="O37" s="1269"/>
      <c r="P37" s="1269"/>
      <c r="Q37" s="1269"/>
      <c r="R37" s="1269"/>
      <c r="S37" s="1269"/>
      <c r="T37" s="1269"/>
      <c r="U37" s="1269"/>
      <c r="V37" s="1269"/>
      <c r="W37" s="1269"/>
      <c r="X37" s="1269"/>
      <c r="Y37" s="1269"/>
      <c r="Z37" s="1269"/>
      <c r="AA37" s="1269"/>
      <c r="AB37" s="1269"/>
      <c r="AC37" s="1269"/>
      <c r="AD37" s="1269"/>
      <c r="AE37" s="1269"/>
      <c r="AH37" s="611"/>
      <c r="AI37" s="611"/>
    </row>
    <row r="38" spans="1:35" ht="24.95" customHeight="1" thickBot="1" x14ac:dyDescent="0.25">
      <c r="B38" s="451" t="s">
        <v>90</v>
      </c>
      <c r="C38" s="452" t="s">
        <v>91</v>
      </c>
      <c r="D38" s="448" t="s">
        <v>172</v>
      </c>
      <c r="E38" s="453" t="s">
        <v>92</v>
      </c>
      <c r="F38" s="449" t="s">
        <v>114</v>
      </c>
      <c r="G38" s="449" t="s">
        <v>96</v>
      </c>
      <c r="H38" s="449" t="s">
        <v>223</v>
      </c>
      <c r="I38" s="454" t="s">
        <v>103</v>
      </c>
      <c r="J38" s="454" t="s">
        <v>178</v>
      </c>
      <c r="K38" s="526" t="s">
        <v>225</v>
      </c>
      <c r="L38" s="526" t="s">
        <v>228</v>
      </c>
      <c r="M38" s="449" t="s">
        <v>97</v>
      </c>
      <c r="N38" s="527" t="s">
        <v>226</v>
      </c>
      <c r="O38" s="527" t="s">
        <v>227</v>
      </c>
      <c r="P38" s="527" t="s">
        <v>224</v>
      </c>
      <c r="Q38" s="527" t="s">
        <v>106</v>
      </c>
      <c r="R38" s="527" t="s">
        <v>181</v>
      </c>
      <c r="S38" s="527" t="s">
        <v>421</v>
      </c>
      <c r="T38" s="527" t="s">
        <v>195</v>
      </c>
      <c r="U38" s="527" t="s">
        <v>201</v>
      </c>
      <c r="V38" s="527" t="s">
        <v>179</v>
      </c>
      <c r="W38" s="527" t="s">
        <v>180</v>
      </c>
      <c r="X38" s="527" t="s">
        <v>193</v>
      </c>
      <c r="Y38" s="527" t="s">
        <v>194</v>
      </c>
      <c r="Z38" s="527" t="s">
        <v>418</v>
      </c>
      <c r="AA38" s="527" t="s">
        <v>417</v>
      </c>
      <c r="AB38" s="527" t="s">
        <v>105</v>
      </c>
      <c r="AC38" s="454" t="s">
        <v>93</v>
      </c>
      <c r="AD38" s="454" t="s">
        <v>94</v>
      </c>
      <c r="AE38" s="454" t="s">
        <v>95</v>
      </c>
      <c r="AH38" s="611"/>
      <c r="AI38" s="611"/>
    </row>
    <row r="39" spans="1:35" ht="24.95" customHeight="1" thickTop="1" x14ac:dyDescent="0.2">
      <c r="A39" s="427" t="str">
        <f>IF('Loan Entry'!$M39&gt;0,DATE((G39+1),1,1),"")</f>
        <v/>
      </c>
      <c r="B39" s="314"/>
      <c r="C39" s="315"/>
      <c r="D39" s="315"/>
      <c r="E39" s="857"/>
      <c r="F39" s="316"/>
      <c r="G39" s="317"/>
      <c r="H39" s="418" t="str">
        <f>IF(I39&gt;0,ROUNDDOWN(Year+I39,0),"")</f>
        <v/>
      </c>
      <c r="I39" s="317"/>
      <c r="J39" s="317"/>
      <c r="K39" s="418" t="e">
        <f>IF(H39&gt;0,IF(H39-Year=0,"yes","no"),"")</f>
        <v>#VALUE!</v>
      </c>
      <c r="L39" s="418" t="str">
        <f>IF('Loan Entry'!$J39&gt;0,DATE(G39,INDEX(Inputs!$C$4:$D$15,MATCH(J39,Months,0),2),1),"")</f>
        <v/>
      </c>
      <c r="M39" s="317"/>
      <c r="N39" s="418" t="str">
        <f>IF(M39&lt;&gt;0,IF(AND(K39="yes",M39="Monthly")=TRUE,CHOOSE(R39,"January","February","March","April","May","June","July","August","September","October","November","December"),RIGHT(AB39,3)),"")</f>
        <v/>
      </c>
      <c r="O39" s="418" t="str">
        <f>IF('Loan Entry'!$M39&gt;0,'Loan Entry'!$I39*'Loan Entry'!$Q39,"")</f>
        <v/>
      </c>
      <c r="P39" s="418" t="str">
        <f>IF(M39&gt;0,(H39-(G39-1))*IF(M39="Monthly",12,IF(M39="Quarterly",4,IF(M39="Semi-Annual",2,1))),"")</f>
        <v/>
      </c>
      <c r="Q39" s="418" t="str">
        <f>IF(M39&gt;0,IF(M39="Monthly",12,IF(M39="Quarterly",4,IF(M39="Semi-Annual",2,1))),"")</f>
        <v/>
      </c>
      <c r="R39" s="418" t="str">
        <f>IF(M39&gt;0,IF(I39&lt;1,IF(M39="Annual",1,(YEARFRAC(L39,A39,))*IF(M39="Monthly",O39,IF(M39="quarterly",O39*3,IF(M39="semi-annual",O39*2,12)))),IF(M39="Annual",1,(YEARFRAC(L39,A39,))*12)),"")</f>
        <v/>
      </c>
      <c r="S39" s="418">
        <f>IF(M39&gt;0,INDEX(Inputs!$J$26:$K$37,MATCH('Loan Entry'!N39,Inputs!$J$26:$J$37,0),2)/12,0)</f>
        <v>0</v>
      </c>
      <c r="T39" s="418" t="str">
        <f>IF(M39&lt;&gt;0,IF(R39&gt;12,12,ROUNDUP(IF(M39="Monthly",12*(R39/Q39),IF(M39="Quarterly",((R39/12)*Q39),IF(M39="Semi-Annual",IF(((R39/12)*Q39)&gt;1,2,1),1))),0)),"")</f>
        <v/>
      </c>
      <c r="U39" s="418" t="str">
        <f>IF(M39&gt;0,T39/Q39,"")</f>
        <v/>
      </c>
      <c r="V39" s="418" t="str">
        <f>IF('Loan Entry'!$M39&gt;0,IF(U39=1,X39/T39,(X39/T39)),"")</f>
        <v/>
      </c>
      <c r="W39" s="418" t="str">
        <f>IF('Loan Entry'!$M39&gt;0,IF(U39=1,Y39/T39,U39*(Y39/T39)),"")</f>
        <v/>
      </c>
      <c r="X39" s="418" t="str">
        <f>IF(E39&gt;0,IF('Loan Entry'!$M39&lt;&gt;0,CUMPRINC((365/360)*E39/Q39,O39,F39,1,T39,0)*-1,),'Loan Entry'!$AC39)</f>
        <v/>
      </c>
      <c r="Y39" s="418">
        <f>IF(E39&gt;0,IF('Loan Entry'!$M39&lt;&gt;0,CUMIPMT(((365/360)*E39)/Q39,O39,F39,1,T39,0)*-1,),0)</f>
        <v>0</v>
      </c>
      <c r="Z39" s="418">
        <f>IF(ISERROR(S39*IF(E39&gt;0,IF('Loan Entry'!$M39&lt;&gt;0,CUMIPMT(((365/360)*E39)/Q39,O39,F39,1,T39,0)*-1,),0))=FALSE,S39*IF(E39&gt;0,IF('Loan Entry'!$M39&lt;&gt;0,CUMIPMT(((365/360)*E39)/Q39,O39,F39,1,T39,0)*-1,),0),0)</f>
        <v>0</v>
      </c>
      <c r="AA39" s="418">
        <f>IF(ISERROR(S39*IF(E39&gt;0,IF('Loan Entry'!$M39&lt;&gt;0,CUMIPMT(((365/360)*E39)/Q39,O39-T39,F39,1+T39,T39+T39,0)*-1,),0))=FALSE,S39*IF(E39&gt;0,IF('Loan Entry'!$M39&lt;&gt;0,CUMIPMT(((365/360)*E39)/Q39,O39-T39,F39,1+T39,T39+T39,0)*-1,),0),0)</f>
        <v>0</v>
      </c>
      <c r="AB39" s="418" t="str">
        <f>IF(M39&lt;&gt;0,IF(K39="no",IF(M39="annual",INDEX(Inputs!$C$4:$E$15,MATCH('Loan Entry'!J39,Months,0),3),IF(M39="semi-annual",IF(T39=2,CONCATENATE(INDEX(Inputs!$C$4:$E$15,MATCH('Loan Entry'!J39,Months,0),3),",",INDEX(Inputs!$C$4:$E$15,MATCH(MONTH(L39+190),Inputs!$D$4:$D$15,0),3)),INDEX(Inputs!$C$4:$E$15,MATCH('Loan Entry'!J39,Months,0),3)),IF(M39="Quarterly",IF(T39=4,CONCATENATE(INDEX(Inputs!$C$4:$E$15,MATCH('Loan Entry'!J39,Months,0),3),",",INDEX(Inputs!$C$4:$E$15,MATCH(MONTH(L39+95),Inputs!$D$4:$D$15,0),3),",",INDEX(Inputs!$C$4:$E$15,MATCH(MONTH(L39+190),Inputs!$D$4:$D$15,0),3),",",INDEX(Inputs!$C$4:$E$15,MATCH(MONTH(L39+275),Inputs!$D$4:$D$15,0),3)),IF(T39=3,CONCATENATE(INDEX(Inputs!$C$4:$E$15,MATCH('Loan Entry'!J39,Months,0),3),",",INDEX(Inputs!$C$4:$E$15,MATCH(MONTH(L39+95),Inputs!$D$4:$D$15,0),3),",",INDEX(Inputs!$C$4:$E$15,MATCH(MONTH(L39+190),Inputs!$D$4:$D$15,0),3)),IF(T39=2,CONCATENATE(INDEX(Inputs!$C$4:$E$15,MATCH('Loan Entry'!J39,Months,0),3),",",INDEX(Inputs!$C$4:$E$15,MATCH(MONTH(L39+95),Inputs!$D$4:$D$15,0),3)),INDEX(Inputs!$C$4:$E$15,MATCH('Loan Entry'!J39,Months,0),3)))),INDEX(Inputs!$C$4:$F$15,MATCH('Loan Entry'!J39,Months,0),4)))),IF(M39="annual",INDEX(Inputs!$C$4:$E$15,MATCH('Loan Entry'!J39,Months,0),3),IF(M39="semi-annual",IF(T39=2,CONCATENATE(INDEX(Inputs!$C$4:$E$15,MATCH('Loan Entry'!J39,Months,0),3),",",INDEX(Inputs!$C$4:$E$15,MATCH(MONTH(L39+190),Inputs!$D$4:$D$15,0),3)),INDEX(Inputs!$C$4:$E$15,MATCH('Loan Entry'!J39,Months,0),3)),IF(M39="Quarterly",IF(T39=4,CONCATENATE(INDEX(Inputs!$C$4:$E$15,MATCH('Loan Entry'!J39,Months,0),3),",",INDEX(Inputs!$C$4:$E$15,MATCH(MONTH(L39+95),Inputs!$D$4:$D$15,0),3),",",INDEX(Inputs!$C$4:$E$15,MATCH(MONTH(L39+190),Inputs!$D$4:$D$15,0),3),",",INDEX(Inputs!$C$4:$E$15,MATCH(MONTH(L39+275),Inputs!$D$4:$D$15,0),3)),IF(T39=3,CONCATENATE(INDEX(Inputs!$C$4:$E$15,MATCH('Loan Entry'!J39,Months,0),3),",",INDEX(Inputs!$C$4:$E$15,MATCH(MONTH(L39+95),Inputs!$D$4:$D$15,0),3),",",INDEX(Inputs!$C$4:$E$15,MATCH(MONTH(L39+190),Inputs!$D$4:$D$15,0),3)),IF(T39=2,CONCATENATE(INDEX(Inputs!$C$4:$E$15,MATCH('Loan Entry'!J39,Months,0),3),",",INDEX(Inputs!$C$4:$E$15,MATCH(MONTH(L39+95),Inputs!$D$4:$D$15,0),3)),INDEX(Inputs!$C$4:$G$15,MATCH('Loan Entry'!J39,Months,0),3)))),INDEX(Inputs!$C$4:$G$15,MATCH('Loan Entry'!N39,Months,0),5))))),"")</f>
        <v/>
      </c>
      <c r="AC39" s="842" t="str">
        <f>IF('Loan Entry'!$M39&gt;0,PMT((365/360)*'Loan Entry'!$E39/'Loan Entry'!$Q39,'Loan Entry'!$O39,'Loan Entry'!$F39*-1)*MIN('Loan Entry'!$Q39,O39),"")</f>
        <v/>
      </c>
      <c r="AD39" s="843" t="str">
        <f>IF(F39&gt;0,IF('Loan Entry'!$M39&lt;&gt;0,IF(U39=1,X39,IF(E39=0,U39*X39,X39)),'Loan Entry'!$AC39),"")</f>
        <v/>
      </c>
      <c r="AE39" s="848" t="str">
        <f>IF('Loan Entry'!$M39&gt;0,'Loan Entry'!$F39-'Loan Entry'!$AD39,"")</f>
        <v/>
      </c>
      <c r="AF39" s="595" t="str">
        <f>IF(AE39&gt;0,AC39,0)</f>
        <v/>
      </c>
      <c r="AG39" s="595"/>
      <c r="AH39" s="611" t="str">
        <f>IF(AE39&lt;&gt;0,IF(AE39&lt;AD39,AE39,IF(E39&gt;0,IF('Loan Entry'!$M39&lt;&gt;0,CUMPRINC(E39/Q39,(O39-T39),AE39,1,T39,0)*-1,),'Loan Entry'!$AC39)),0)</f>
        <v/>
      </c>
      <c r="AI39" s="611">
        <f>IF(M39&gt;0,AE39-AH39,0)</f>
        <v>0</v>
      </c>
    </row>
    <row r="40" spans="1:35" ht="24.95" customHeight="1" x14ac:dyDescent="0.2">
      <c r="A40" s="429" t="str">
        <f>IF('Loan Entry'!$M40&gt;0,DATE((G40+1),1,1),"")</f>
        <v/>
      </c>
      <c r="B40" s="318"/>
      <c r="C40" s="319"/>
      <c r="D40" s="319"/>
      <c r="E40" s="858"/>
      <c r="F40" s="320"/>
      <c r="G40" s="321"/>
      <c r="H40" s="419" t="str">
        <f>IF(I40&gt;0,ROUNDDOWN(Year+I40,0),"")</f>
        <v/>
      </c>
      <c r="I40" s="321"/>
      <c r="J40" s="321"/>
      <c r="K40" s="419" t="e">
        <f>IF(H40&gt;0,IF(H40-Year=0,"yes","no"),"")</f>
        <v>#VALUE!</v>
      </c>
      <c r="L40" s="419" t="str">
        <f>IF('Loan Entry'!$J40&gt;0,DATE(G40,INDEX(Inputs!$C$4:$D$15,MATCH(J40,Months,0),2),1),"")</f>
        <v/>
      </c>
      <c r="M40" s="321"/>
      <c r="N40" s="419" t="str">
        <f>IF(M40&lt;&gt;0,IF(AND(K40="yes",M40="Monthly")=TRUE,CHOOSE(R40,"January","February","March","April","May","June","July","August","September","October","November","December"),RIGHT(AB40,3)),"")</f>
        <v/>
      </c>
      <c r="O40" s="537" t="str">
        <f>IF('Loan Entry'!$M40&gt;0,'Loan Entry'!$I40*'Loan Entry'!$Q40,"")</f>
        <v/>
      </c>
      <c r="P40" s="537" t="str">
        <f>IF(M40&gt;0,(H40-(G40-1))*IF(M40="Monthly",12,IF(M40="Quarterly",4,IF(M40="Semi-Annual",2,1))),"")</f>
        <v/>
      </c>
      <c r="Q40" s="537" t="str">
        <f>IF(M40&gt;0,IF(M40="Monthly",12,IF(M40="Quarterly",4,IF(M40="Semi-Annual",2,1))),"")</f>
        <v/>
      </c>
      <c r="R40" s="537" t="str">
        <f>IF(M40&gt;0,IF(I40&lt;1,IF(M40="Annual",1,(YEARFRAC(L40,A40,))*IF(M40="Monthly",O40,IF(M40="quarterly",O40*3,IF(M40="semi-annual",O40*2,12)))),IF(M40="Annual",1,(YEARFRAC(L40,A40,))*12)),"")</f>
        <v/>
      </c>
      <c r="S40" s="537">
        <f>IF(M40&gt;0,INDEX(Inputs!$J$26:$K$37,MATCH('Loan Entry'!N40,Inputs!$J$26:$J$37,0),2)/12,0)</f>
        <v>0</v>
      </c>
      <c r="T40" s="537" t="str">
        <f>IF(M40&lt;&gt;0,IF(R40&gt;12,12,ROUNDUP(IF(M40="Monthly",12*(R40/Q40),IF(M40="Quarterly",((R40/12)*Q40),IF(M40="Semi-Annual",IF(((R40/12)*Q40)&gt;1,2,1),1))),0)),"")</f>
        <v/>
      </c>
      <c r="U40" s="537" t="str">
        <f>IF(M40&gt;0,T40/Q40,"")</f>
        <v/>
      </c>
      <c r="V40" s="537" t="str">
        <f>IF('Loan Entry'!$M40&gt;0,IF(U40=1,X40/T40,(X40/T40)),"")</f>
        <v/>
      </c>
      <c r="W40" s="537" t="str">
        <f>IF('Loan Entry'!$M40&gt;0,IF(U40=1,Y40/T40,U40*(Y40/T40)),"")</f>
        <v/>
      </c>
      <c r="X40" s="537" t="str">
        <f>IF(E40&gt;0,IF('Loan Entry'!$M40&lt;&gt;0,CUMPRINC((365/360)*E40/Q40,O40,F40,1,T40,0)*-1,),'Loan Entry'!$AC40)</f>
        <v/>
      </c>
      <c r="Y40" s="537">
        <f>IF(E40&gt;0,IF('Loan Entry'!$M40&lt;&gt;0,CUMIPMT(((365/360)*E40)/Q40,O40,F40,1,T40,0)*-1,),0)</f>
        <v>0</v>
      </c>
      <c r="Z40" s="537">
        <f>IF(ISERROR(S40*IF(E40&gt;0,IF('Loan Entry'!$M40&lt;&gt;0,CUMIPMT(((365/360)*E40)/Q40,O40,F40,1,T40,0)*-1,),0))=FALSE,S40*IF(E40&gt;0,IF('Loan Entry'!$M40&lt;&gt;0,CUMIPMT(((365/360)*E40)/Q40,O40,F40,1,T40,0)*-1,),0),0)</f>
        <v>0</v>
      </c>
      <c r="AA40" s="537">
        <f>IF(ISERROR(S40*IF(E40&gt;0,IF('Loan Entry'!$M40&lt;&gt;0,CUMIPMT(((365/360)*E40)/Q40,O40-T40,F40,1+T40,T40+T40,0)*-1,),0))=FALSE,S40*IF(E40&gt;0,IF('Loan Entry'!$M40&lt;&gt;0,CUMIPMT(((365/360)*E40)/Q40,O40-T40,F40,1+T40,T40+T40,0)*-1,),0),0)</f>
        <v>0</v>
      </c>
      <c r="AB40" s="537" t="str">
        <f>IF(M40&lt;&gt;0,IF(K40="no",IF(M40="annual",INDEX(Inputs!$C$4:$E$15,MATCH('Loan Entry'!J40,Months,0),3),IF(M40="semi-annual",IF(T40=2,CONCATENATE(INDEX(Inputs!$C$4:$E$15,MATCH('Loan Entry'!J40,Months,0),3),",",INDEX(Inputs!$C$4:$E$15,MATCH(MONTH(L40+190),Inputs!$D$4:$D$15,0),3)),INDEX(Inputs!$C$4:$E$15,MATCH('Loan Entry'!J40,Months,0),3)),IF(M40="Quarterly",IF(T40=4,CONCATENATE(INDEX(Inputs!$C$4:$E$15,MATCH('Loan Entry'!J40,Months,0),3),",",INDEX(Inputs!$C$4:$E$15,MATCH(MONTH(L40+95),Inputs!$D$4:$D$15,0),3),",",INDEX(Inputs!$C$4:$E$15,MATCH(MONTH(L40+190),Inputs!$D$4:$D$15,0),3),",",INDEX(Inputs!$C$4:$E$15,MATCH(MONTH(L40+275),Inputs!$D$4:$D$15,0),3)),IF(T40=3,CONCATENATE(INDEX(Inputs!$C$4:$E$15,MATCH('Loan Entry'!J40,Months,0),3),",",INDEX(Inputs!$C$4:$E$15,MATCH(MONTH(L40+95),Inputs!$D$4:$D$15,0),3),",",INDEX(Inputs!$C$4:$E$15,MATCH(MONTH(L40+190),Inputs!$D$4:$D$15,0),3)),IF(T40=2,CONCATENATE(INDEX(Inputs!$C$4:$E$15,MATCH('Loan Entry'!J40,Months,0),3),",",INDEX(Inputs!$C$4:$E$15,MATCH(MONTH(L40+95),Inputs!$D$4:$D$15,0),3)),INDEX(Inputs!$C$4:$E$15,MATCH('Loan Entry'!J40,Months,0),3)))),INDEX(Inputs!$C$4:$F$15,MATCH('Loan Entry'!J40,Months,0),4)))),IF(M40="annual",INDEX(Inputs!$C$4:$E$15,MATCH('Loan Entry'!J40,Months,0),3),IF(M40="semi-annual",IF(T40=2,CONCATENATE(INDEX(Inputs!$C$4:$E$15,MATCH('Loan Entry'!J40,Months,0),3),",",INDEX(Inputs!$C$4:$E$15,MATCH(MONTH(L40+190),Inputs!$D$4:$D$15,0),3)),INDEX(Inputs!$C$4:$E$15,MATCH('Loan Entry'!J40,Months,0),3)),IF(M40="Quarterly",IF(T40=4,CONCATENATE(INDEX(Inputs!$C$4:$E$15,MATCH('Loan Entry'!J40,Months,0),3),",",INDEX(Inputs!$C$4:$E$15,MATCH(MONTH(L40+95),Inputs!$D$4:$D$15,0),3),",",INDEX(Inputs!$C$4:$E$15,MATCH(MONTH(L40+190),Inputs!$D$4:$D$15,0),3),",",INDEX(Inputs!$C$4:$E$15,MATCH(MONTH(L40+275),Inputs!$D$4:$D$15,0),3)),IF(T40=3,CONCATENATE(INDEX(Inputs!$C$4:$E$15,MATCH('Loan Entry'!J40,Months,0),3),",",INDEX(Inputs!$C$4:$E$15,MATCH(MONTH(L40+95),Inputs!$D$4:$D$15,0),3),",",INDEX(Inputs!$C$4:$E$15,MATCH(MONTH(L40+190),Inputs!$D$4:$D$15,0),3)),IF(T40=2,CONCATENATE(INDEX(Inputs!$C$4:$E$15,MATCH('Loan Entry'!J40,Months,0),3),",",INDEX(Inputs!$C$4:$E$15,MATCH(MONTH(L40+95),Inputs!$D$4:$D$15,0),3)),INDEX(Inputs!$C$4:$G$15,MATCH('Loan Entry'!J40,Months,0),3)))),INDEX(Inputs!$C$4:$G$15,MATCH('Loan Entry'!N40,Months,0),5))))),"")</f>
        <v/>
      </c>
      <c r="AC40" s="844" t="str">
        <f>IF('Loan Entry'!$M40&gt;0,PMT((365/360)*'Loan Entry'!$E40/'Loan Entry'!$Q40,'Loan Entry'!$O40,'Loan Entry'!$F40*-1)*MIN('Loan Entry'!$Q40,O40),"")</f>
        <v/>
      </c>
      <c r="AD40" s="845" t="str">
        <f>IF(F40&gt;0,IF('Loan Entry'!$M40&lt;&gt;0,IF(U40=1,X40,IF(E40=0,U40*X40,X40)),'Loan Entry'!$AC40),"")</f>
        <v/>
      </c>
      <c r="AE40" s="849" t="str">
        <f>IF('Loan Entry'!$M40&gt;0,'Loan Entry'!$F40-'Loan Entry'!$AD40,"")</f>
        <v/>
      </c>
      <c r="AF40" s="595" t="str">
        <f>IF(AE40&gt;0,AC40,0)</f>
        <v/>
      </c>
      <c r="AG40" s="595"/>
      <c r="AH40" s="611" t="str">
        <f>IF(AE40&lt;&gt;0,IF(AE40&lt;AD40,AE40,IF(E40&gt;0,IF('Loan Entry'!$M40&lt;&gt;0,CUMPRINC(E40/Q40,(O40-T40),AE40,1,T40,0)*-1,),'Loan Entry'!$AC40)),0)</f>
        <v/>
      </c>
      <c r="AI40" s="611">
        <f>IF(M40&gt;0,AE40-AH40,0)</f>
        <v>0</v>
      </c>
    </row>
    <row r="41" spans="1:35" ht="24.95" customHeight="1" x14ac:dyDescent="0.2">
      <c r="A41" s="429" t="str">
        <f>IF('Loan Entry'!$M41&gt;0,DATE((G41+1),1,1),"")</f>
        <v/>
      </c>
      <c r="B41" s="322"/>
      <c r="C41" s="323"/>
      <c r="D41" s="323"/>
      <c r="E41" s="859"/>
      <c r="F41" s="324"/>
      <c r="G41" s="325"/>
      <c r="H41" s="420" t="str">
        <f>IF(I41&gt;0,ROUNDDOWN(Year+I41,0),"")</f>
        <v/>
      </c>
      <c r="I41" s="325"/>
      <c r="J41" s="325"/>
      <c r="K41" s="420" t="e">
        <f>IF(H41&gt;0,IF(H41-Year=0,"yes","no"),"")</f>
        <v>#VALUE!</v>
      </c>
      <c r="L41" s="420" t="str">
        <f>IF('Loan Entry'!$J41&gt;0,DATE(G41,INDEX(Inputs!$C$4:$D$15,MATCH(J41,Months,0),2),1),"")</f>
        <v/>
      </c>
      <c r="M41" s="325"/>
      <c r="N41" s="420" t="str">
        <f>IF(M41&lt;&gt;0,IF(AND(K41="yes",M41="Monthly")=TRUE,CHOOSE(R41,"January","February","March","April","May","June","July","August","September","October","November","December"),RIGHT(AB41,3)),"")</f>
        <v/>
      </c>
      <c r="O41" s="539" t="str">
        <f>IF('Loan Entry'!$M41&gt;0,'Loan Entry'!$I41*'Loan Entry'!$Q41,"")</f>
        <v/>
      </c>
      <c r="P41" s="539" t="str">
        <f>IF(M41&gt;0,(H41-(G41-1))*IF(M41="Monthly",12,IF(M41="Quarterly",4,IF(M41="Semi-Annual",2,1))),"")</f>
        <v/>
      </c>
      <c r="Q41" s="539" t="str">
        <f>IF(M41&gt;0,IF(M41="Monthly",12,IF(M41="Quarterly",4,IF(M41="Semi-Annual",2,1))),"")</f>
        <v/>
      </c>
      <c r="R41" s="539" t="str">
        <f>IF(M41&gt;0,IF(I41&lt;1,IF(M41="Annual",1,(YEARFRAC(L41,A41,))*IF(M41="Monthly",O41,IF(M41="quarterly",O41*3,IF(M41="semi-annual",O41*2,12)))),IF(M41="Annual",1,(YEARFRAC(L41,A41,))*12)),"")</f>
        <v/>
      </c>
      <c r="S41" s="539">
        <f>IF(M41&gt;0,INDEX(Inputs!$J$26:$K$37,MATCH('Loan Entry'!N41,Inputs!$J$26:$J$37,0),2)/12,0)</f>
        <v>0</v>
      </c>
      <c r="T41" s="539" t="str">
        <f>IF(M41&lt;&gt;0,IF(R41&gt;12,12,ROUNDUP(IF(M41="Monthly",12*(R41/Q41),IF(M41="Quarterly",((R41/12)*Q41),IF(M41="Semi-Annual",IF(((R41/12)*Q41)&gt;1,2,1),1))),0)),"")</f>
        <v/>
      </c>
      <c r="U41" s="539" t="str">
        <f>IF(M41&gt;0,T41/Q41,"")</f>
        <v/>
      </c>
      <c r="V41" s="539" t="str">
        <f>IF('Loan Entry'!$M41&gt;0,IF(U41=1,X41/T41,(X41/T41)),"")</f>
        <v/>
      </c>
      <c r="W41" s="539" t="str">
        <f>IF('Loan Entry'!$M41&gt;0,IF(U41=1,Y41/T41,U41*(Y41/T41)),"")</f>
        <v/>
      </c>
      <c r="X41" s="539" t="str">
        <f>IF(E41&gt;0,IF('Loan Entry'!$M41&lt;&gt;0,CUMPRINC((365/360)*E41/Q41,O41,F41,1,T41,0)*-1,),'Loan Entry'!$AC41)</f>
        <v/>
      </c>
      <c r="Y41" s="539">
        <f>IF(E41&gt;0,IF('Loan Entry'!$M41&lt;&gt;0,CUMIPMT(((365/360)*E41)/Q41,O41,F41,1,T41,0)*-1,),0)</f>
        <v>0</v>
      </c>
      <c r="Z41" s="539">
        <f>IF(ISERROR(S41*IF(E41&gt;0,IF('Loan Entry'!$M41&lt;&gt;0,CUMIPMT(((365/360)*E41)/Q41,O41,F41,1,T41,0)*-1,),0))=FALSE,S41*IF(E41&gt;0,IF('Loan Entry'!$M41&lt;&gt;0,CUMIPMT(((365/360)*E41)/Q41,O41,F41,1,T41,0)*-1,),0),0)</f>
        <v>0</v>
      </c>
      <c r="AA41" s="539">
        <f>IF(ISERROR(S41*IF(E41&gt;0,IF('Loan Entry'!$M41&lt;&gt;0,CUMIPMT(((365/360)*E41)/Q41,O41-T41,F41,1+T41,T41+T41,0)*-1,),0))=FALSE,S41*IF(E41&gt;0,IF('Loan Entry'!$M41&lt;&gt;0,CUMIPMT(((365/360)*E41)/Q41,O41-T41,F41,1+T41,T41+T41,0)*-1,),0),0)</f>
        <v>0</v>
      </c>
      <c r="AB41" s="539" t="str">
        <f>IF(M41&lt;&gt;0,IF(K41="no",IF(M41="annual",INDEX(Inputs!$C$4:$E$15,MATCH('Loan Entry'!J41,Months,0),3),IF(M41="semi-annual",IF(T41=2,CONCATENATE(INDEX(Inputs!$C$4:$E$15,MATCH('Loan Entry'!J41,Months,0),3),",",INDEX(Inputs!$C$4:$E$15,MATCH(MONTH(L41+190),Inputs!$D$4:$D$15,0),3)),INDEX(Inputs!$C$4:$E$15,MATCH('Loan Entry'!J41,Months,0),3)),IF(M41="Quarterly",IF(T41=4,CONCATENATE(INDEX(Inputs!$C$4:$E$15,MATCH('Loan Entry'!J41,Months,0),3),",",INDEX(Inputs!$C$4:$E$15,MATCH(MONTH(L41+95),Inputs!$D$4:$D$15,0),3),",",INDEX(Inputs!$C$4:$E$15,MATCH(MONTH(L41+190),Inputs!$D$4:$D$15,0),3),",",INDEX(Inputs!$C$4:$E$15,MATCH(MONTH(L41+275),Inputs!$D$4:$D$15,0),3)),IF(T41=3,CONCATENATE(INDEX(Inputs!$C$4:$E$15,MATCH('Loan Entry'!J41,Months,0),3),",",INDEX(Inputs!$C$4:$E$15,MATCH(MONTH(L41+95),Inputs!$D$4:$D$15,0),3),",",INDEX(Inputs!$C$4:$E$15,MATCH(MONTH(L41+190),Inputs!$D$4:$D$15,0),3)),IF(T41=2,CONCATENATE(INDEX(Inputs!$C$4:$E$15,MATCH('Loan Entry'!J41,Months,0),3),",",INDEX(Inputs!$C$4:$E$15,MATCH(MONTH(L41+95),Inputs!$D$4:$D$15,0),3)),INDEX(Inputs!$C$4:$E$15,MATCH('Loan Entry'!J41,Months,0),3)))),INDEX(Inputs!$C$4:$F$15,MATCH('Loan Entry'!J41,Months,0),4)))),IF(M41="annual",INDEX(Inputs!$C$4:$E$15,MATCH('Loan Entry'!J41,Months,0),3),IF(M41="semi-annual",IF(T41=2,CONCATENATE(INDEX(Inputs!$C$4:$E$15,MATCH('Loan Entry'!J41,Months,0),3),",",INDEX(Inputs!$C$4:$E$15,MATCH(MONTH(L41+190),Inputs!$D$4:$D$15,0),3)),INDEX(Inputs!$C$4:$E$15,MATCH('Loan Entry'!J41,Months,0),3)),IF(M41="Quarterly",IF(T41=4,CONCATENATE(INDEX(Inputs!$C$4:$E$15,MATCH('Loan Entry'!J41,Months,0),3),",",INDEX(Inputs!$C$4:$E$15,MATCH(MONTH(L41+95),Inputs!$D$4:$D$15,0),3),",",INDEX(Inputs!$C$4:$E$15,MATCH(MONTH(L41+190),Inputs!$D$4:$D$15,0),3),",",INDEX(Inputs!$C$4:$E$15,MATCH(MONTH(L41+275),Inputs!$D$4:$D$15,0),3)),IF(T41=3,CONCATENATE(INDEX(Inputs!$C$4:$E$15,MATCH('Loan Entry'!J41,Months,0),3),",",INDEX(Inputs!$C$4:$E$15,MATCH(MONTH(L41+95),Inputs!$D$4:$D$15,0),3),",",INDEX(Inputs!$C$4:$E$15,MATCH(MONTH(L41+190),Inputs!$D$4:$D$15,0),3)),IF(T41=2,CONCATENATE(INDEX(Inputs!$C$4:$E$15,MATCH('Loan Entry'!J41,Months,0),3),",",INDEX(Inputs!$C$4:$E$15,MATCH(MONTH(L41+95),Inputs!$D$4:$D$15,0),3)),INDEX(Inputs!$C$4:$G$15,MATCH('Loan Entry'!J41,Months,0),3)))),INDEX(Inputs!$C$4:$G$15,MATCH('Loan Entry'!N41,Months,0),5))))),"")</f>
        <v/>
      </c>
      <c r="AC41" s="846" t="str">
        <f>IF('Loan Entry'!$M41&gt;0,PMT((365/360)*'Loan Entry'!$E41/'Loan Entry'!$Q41,'Loan Entry'!$O41,'Loan Entry'!$F41*-1)*MIN('Loan Entry'!$Q41,O41),"")</f>
        <v/>
      </c>
      <c r="AD41" s="847" t="str">
        <f>IF(F41&gt;0,IF('Loan Entry'!$M41&lt;&gt;0,IF(U41=1,X41,IF(E41=0,U41*X41,X41)),'Loan Entry'!$AC41),"")</f>
        <v/>
      </c>
      <c r="AE41" s="850" t="str">
        <f>IF('Loan Entry'!$M41&gt;0,'Loan Entry'!$F41-'Loan Entry'!$AD41,"")</f>
        <v/>
      </c>
      <c r="AF41" s="595" t="str">
        <f>IF(AE41&gt;0,AC41,0)</f>
        <v/>
      </c>
      <c r="AG41" s="595"/>
      <c r="AH41" s="611" t="str">
        <f>IF(AE41&lt;&gt;0,IF(AE41&lt;AD41,AE41,IF(E41&gt;0,IF('Loan Entry'!$M41&lt;&gt;0,CUMPRINC(E41/Q41,(O41-T41),AE41,1,T41,0)*-1,),'Loan Entry'!$AC41)),0)</f>
        <v/>
      </c>
      <c r="AI41" s="611">
        <f>IF(M41&gt;0,AE41-AH41,0)</f>
        <v>0</v>
      </c>
    </row>
    <row r="42" spans="1:35" ht="24.95" customHeight="1" x14ac:dyDescent="0.2">
      <c r="A42" s="429" t="str">
        <f>IF('Loan Entry'!$M42&gt;0,DATE((G42+1),1,1),"")</f>
        <v/>
      </c>
      <c r="B42" s="318"/>
      <c r="C42" s="319"/>
      <c r="D42" s="319"/>
      <c r="E42" s="858"/>
      <c r="F42" s="320"/>
      <c r="G42" s="321"/>
      <c r="H42" s="419" t="str">
        <f>IF(I42&gt;0,ROUNDDOWN(Year+I42,0),"")</f>
        <v/>
      </c>
      <c r="I42" s="321"/>
      <c r="J42" s="321"/>
      <c r="K42" s="419" t="e">
        <f>IF(H42&gt;0,IF(H42-Year=0,"yes","no"),"")</f>
        <v>#VALUE!</v>
      </c>
      <c r="L42" s="419" t="str">
        <f>IF('Loan Entry'!$J42&gt;0,DATE(G42,INDEX(Inputs!$C$4:$D$15,MATCH(J42,Months,0),2),1),"")</f>
        <v/>
      </c>
      <c r="M42" s="321"/>
      <c r="N42" s="419" t="str">
        <f>IF(M42&lt;&gt;0,IF(AND(K42="yes",M42="Monthly")=TRUE,CHOOSE(R42,"January","February","March","April","May","June","July","August","September","October","November","December"),RIGHT(AB42,3)),"")</f>
        <v/>
      </c>
      <c r="O42" s="537" t="str">
        <f>IF('Loan Entry'!$M42&gt;0,'Loan Entry'!$I42*'Loan Entry'!$Q42,"")</f>
        <v/>
      </c>
      <c r="P42" s="537" t="str">
        <f>IF(M42&gt;0,(H42-(G42-1))*IF(M42="Monthly",12,IF(M42="Quarterly",4,IF(M42="Semi-Annual",2,1))),"")</f>
        <v/>
      </c>
      <c r="Q42" s="537" t="str">
        <f>IF(M42&gt;0,IF(M42="Monthly",12,IF(M42="Quarterly",4,IF(M42="Semi-Annual",2,1))),"")</f>
        <v/>
      </c>
      <c r="R42" s="537" t="str">
        <f>IF(M42&gt;0,IF(I42&lt;1,IF(M42="Annual",1,(YEARFRAC(L42,A42,))*IF(M42="Monthly",O42,IF(M42="quarterly",O42*3,IF(M42="semi-annual",O42*2,12)))),IF(M42="Annual",1,(YEARFRAC(L42,A42,))*12)),"")</f>
        <v/>
      </c>
      <c r="S42" s="537">
        <f>IF(M42&gt;0,INDEX(Inputs!$J$26:$K$37,MATCH('Loan Entry'!N42,Inputs!$J$26:$J$37,0),2)/12,0)</f>
        <v>0</v>
      </c>
      <c r="T42" s="537" t="str">
        <f>IF(M42&lt;&gt;0,IF(R42&gt;12,12,ROUNDUP(IF(M42="Monthly",12*(R42/Q42),IF(M42="Quarterly",((R42/12)*Q42),IF(M42="Semi-Annual",IF(((R42/12)*Q42)&gt;1,2,1),1))),0)),"")</f>
        <v/>
      </c>
      <c r="U42" s="537" t="str">
        <f>IF(M42&gt;0,T42/Q42,"")</f>
        <v/>
      </c>
      <c r="V42" s="537" t="str">
        <f>IF('Loan Entry'!$M42&gt;0,IF(U42=1,X42/T42,(X42/T42)),"")</f>
        <v/>
      </c>
      <c r="W42" s="537" t="str">
        <f>IF('Loan Entry'!$M42&gt;0,IF(U42=1,Y42/T42,U42*(Y42/T42)),"")</f>
        <v/>
      </c>
      <c r="X42" s="537" t="str">
        <f>IF(E42&gt;0,IF('Loan Entry'!$M42&lt;&gt;0,CUMPRINC((365/360)*E42/Q42,O42,F42,1,T42,0)*-1,),'Loan Entry'!$AC42)</f>
        <v/>
      </c>
      <c r="Y42" s="537">
        <f>IF(E42&gt;0,IF('Loan Entry'!$M42&lt;&gt;0,CUMIPMT(((365/360)*E42)/Q42,O42,F42,1,T42,0)*-1,),0)</f>
        <v>0</v>
      </c>
      <c r="Z42" s="537">
        <f>IF(ISERROR(S42*IF(E42&gt;0,IF('Loan Entry'!$M42&lt;&gt;0,CUMIPMT(((365/360)*E42)/Q42,O42,F42,1,T42,0)*-1,),0))=FALSE,S42*IF(E42&gt;0,IF('Loan Entry'!$M42&lt;&gt;0,CUMIPMT(((365/360)*E42)/Q42,O42,F42,1,T42,0)*-1,),0),0)</f>
        <v>0</v>
      </c>
      <c r="AA42" s="537">
        <f>IF(ISERROR(S42*IF(E42&gt;0,IF('Loan Entry'!$M42&lt;&gt;0,CUMIPMT(((365/360)*E42)/Q42,O42-T42,F42,1+T42,T42+T42,0)*-1,),0))=FALSE,S42*IF(E42&gt;0,IF('Loan Entry'!$M42&lt;&gt;0,CUMIPMT(((365/360)*E42)/Q42,O42-T42,F42,1+T42,T42+T42,0)*-1,),0),0)</f>
        <v>0</v>
      </c>
      <c r="AB42" s="537" t="str">
        <f>IF(M42&lt;&gt;0,IF(K42="no",IF(M42="annual",INDEX(Inputs!$C$4:$E$15,MATCH('Loan Entry'!J42,Months,0),3),IF(M42="semi-annual",IF(T42=2,CONCATENATE(INDEX(Inputs!$C$4:$E$15,MATCH('Loan Entry'!J42,Months,0),3),",",INDEX(Inputs!$C$4:$E$15,MATCH(MONTH(L42+190),Inputs!$D$4:$D$15,0),3)),INDEX(Inputs!$C$4:$E$15,MATCH('Loan Entry'!J42,Months,0),3)),IF(M42="Quarterly",IF(T42=4,CONCATENATE(INDEX(Inputs!$C$4:$E$15,MATCH('Loan Entry'!J42,Months,0),3),",",INDEX(Inputs!$C$4:$E$15,MATCH(MONTH(L42+95),Inputs!$D$4:$D$15,0),3),",",INDEX(Inputs!$C$4:$E$15,MATCH(MONTH(L42+190),Inputs!$D$4:$D$15,0),3),",",INDEX(Inputs!$C$4:$E$15,MATCH(MONTH(L42+275),Inputs!$D$4:$D$15,0),3)),IF(T42=3,CONCATENATE(INDEX(Inputs!$C$4:$E$15,MATCH('Loan Entry'!J42,Months,0),3),",",INDEX(Inputs!$C$4:$E$15,MATCH(MONTH(L42+95),Inputs!$D$4:$D$15,0),3),",",INDEX(Inputs!$C$4:$E$15,MATCH(MONTH(L42+190),Inputs!$D$4:$D$15,0),3)),IF(T42=2,CONCATENATE(INDEX(Inputs!$C$4:$E$15,MATCH('Loan Entry'!J42,Months,0),3),",",INDEX(Inputs!$C$4:$E$15,MATCH(MONTH(L42+95),Inputs!$D$4:$D$15,0),3)),INDEX(Inputs!$C$4:$E$15,MATCH('Loan Entry'!J42,Months,0),3)))),INDEX(Inputs!$C$4:$F$15,MATCH('Loan Entry'!J42,Months,0),4)))),IF(M42="annual",INDEX(Inputs!$C$4:$E$15,MATCH('Loan Entry'!J42,Months,0),3),IF(M42="semi-annual",IF(T42=2,CONCATENATE(INDEX(Inputs!$C$4:$E$15,MATCH('Loan Entry'!J42,Months,0),3),",",INDEX(Inputs!$C$4:$E$15,MATCH(MONTH(L42+190),Inputs!$D$4:$D$15,0),3)),INDEX(Inputs!$C$4:$E$15,MATCH('Loan Entry'!J42,Months,0),3)),IF(M42="Quarterly",IF(T42=4,CONCATENATE(INDEX(Inputs!$C$4:$E$15,MATCH('Loan Entry'!J42,Months,0),3),",",INDEX(Inputs!$C$4:$E$15,MATCH(MONTH(L42+95),Inputs!$D$4:$D$15,0),3),",",INDEX(Inputs!$C$4:$E$15,MATCH(MONTH(L42+190),Inputs!$D$4:$D$15,0),3),",",INDEX(Inputs!$C$4:$E$15,MATCH(MONTH(L42+275),Inputs!$D$4:$D$15,0),3)),IF(T42=3,CONCATENATE(INDEX(Inputs!$C$4:$E$15,MATCH('Loan Entry'!J42,Months,0),3),",",INDEX(Inputs!$C$4:$E$15,MATCH(MONTH(L42+95),Inputs!$D$4:$D$15,0),3),",",INDEX(Inputs!$C$4:$E$15,MATCH(MONTH(L42+190),Inputs!$D$4:$D$15,0),3)),IF(T42=2,CONCATENATE(INDEX(Inputs!$C$4:$E$15,MATCH('Loan Entry'!J42,Months,0),3),",",INDEX(Inputs!$C$4:$E$15,MATCH(MONTH(L42+95),Inputs!$D$4:$D$15,0),3)),INDEX(Inputs!$C$4:$G$15,MATCH('Loan Entry'!J42,Months,0),3)))),INDEX(Inputs!$C$4:$G$15,MATCH('Loan Entry'!N42,Months,0),5))))),"")</f>
        <v/>
      </c>
      <c r="AC42" s="844" t="str">
        <f>IF('Loan Entry'!$M42&gt;0,PMT((365/360)*'Loan Entry'!$E42/'Loan Entry'!$Q42,'Loan Entry'!$O42,'Loan Entry'!$F42*-1)*MIN('Loan Entry'!$Q42,O42),"")</f>
        <v/>
      </c>
      <c r="AD42" s="845" t="str">
        <f>IF(F42&gt;0,IF('Loan Entry'!$M42&lt;&gt;0,IF(U42=1,X42,IF(E42=0,U42*X42,X42)),'Loan Entry'!$AC42),"")</f>
        <v/>
      </c>
      <c r="AE42" s="849" t="str">
        <f>IF('Loan Entry'!$M42&gt;0,'Loan Entry'!$F42-'Loan Entry'!$AD42,"")</f>
        <v/>
      </c>
      <c r="AF42" s="595" t="str">
        <f>IF(AE42&gt;0,AC42,0)</f>
        <v/>
      </c>
      <c r="AG42" s="595"/>
      <c r="AH42" s="611" t="str">
        <f>IF(AE42&lt;&gt;0,IF(AE42&lt;AD42,AE42,IF(E42&gt;0,IF('Loan Entry'!$M42&lt;&gt;0,CUMPRINC(E42/Q42,(O42-T42),AE42,1,T42,0)*-1,),'Loan Entry'!$AC42)),0)</f>
        <v/>
      </c>
      <c r="AI42" s="611">
        <f>IF(M42&gt;0,AE42-AH42,0)</f>
        <v>0</v>
      </c>
    </row>
    <row r="43" spans="1:35" ht="24.95" customHeight="1" x14ac:dyDescent="0.2">
      <c r="A43" s="429" t="str">
        <f>IF('Loan Entry'!$M50&gt;0,DATE((G50+1),1,1),"")</f>
        <v/>
      </c>
      <c r="B43" s="1267" t="str">
        <f>CONCATENATE("Sub-Total ",B37)</f>
        <v>Sub-Total Other Business Loans</v>
      </c>
      <c r="C43" s="1267"/>
      <c r="D43" s="1267"/>
      <c r="E43" s="1267"/>
      <c r="F43" s="1267"/>
      <c r="G43" s="1267"/>
      <c r="H43" s="1267"/>
      <c r="I43" s="1267"/>
      <c r="J43" s="1267"/>
      <c r="K43" s="1267"/>
      <c r="L43" s="1267"/>
      <c r="M43" s="1267"/>
      <c r="N43" s="1267"/>
      <c r="O43" s="1267"/>
      <c r="P43" s="1267"/>
      <c r="Q43" s="1267"/>
      <c r="R43" s="1267"/>
      <c r="S43" s="1267"/>
      <c r="T43" s="1267"/>
      <c r="U43" s="1267"/>
      <c r="V43" s="1267"/>
      <c r="W43" s="1267"/>
      <c r="X43" s="1267"/>
      <c r="Y43" s="1267"/>
      <c r="Z43" s="1267"/>
      <c r="AA43" s="1267"/>
      <c r="AB43" s="1267"/>
      <c r="AC43" s="1267"/>
      <c r="AD43" s="260">
        <f>SUM('Loan Entry'!$AD$39:$AD$42)</f>
        <v>0</v>
      </c>
      <c r="AE43" s="260">
        <f>SUM('Loan Entry'!$AE$39:$AE$42)</f>
        <v>0</v>
      </c>
      <c r="AH43" s="611">
        <f>SUM(AH39:AH42)</f>
        <v>0</v>
      </c>
      <c r="AI43" s="611">
        <f>SUM(AI39:AI42)</f>
        <v>0</v>
      </c>
    </row>
    <row r="44" spans="1:35" ht="24.95" customHeight="1" x14ac:dyDescent="0.2">
      <c r="B44" s="545"/>
      <c r="C44" s="545"/>
      <c r="D44" s="545"/>
      <c r="E44" s="545"/>
      <c r="F44" s="545"/>
      <c r="G44" s="545"/>
      <c r="H44" s="545"/>
      <c r="I44" s="545"/>
      <c r="J44" s="545"/>
      <c r="K44" s="545"/>
      <c r="L44" s="545"/>
      <c r="M44" s="545"/>
      <c r="N44" s="545"/>
      <c r="O44" s="545"/>
      <c r="P44" s="545"/>
      <c r="Q44" s="545"/>
      <c r="R44" s="545"/>
      <c r="S44" s="601"/>
      <c r="T44" s="545"/>
      <c r="U44" s="545"/>
      <c r="V44" s="545"/>
      <c r="W44" s="545"/>
      <c r="X44" s="545"/>
      <c r="Y44" s="545"/>
      <c r="Z44" s="601"/>
      <c r="AA44" s="601"/>
      <c r="AB44" s="545"/>
      <c r="AC44" s="545"/>
      <c r="AD44" s="260"/>
      <c r="AE44" s="260"/>
      <c r="AH44" s="611"/>
      <c r="AI44" s="611"/>
    </row>
    <row r="45" spans="1:35" ht="24.95" customHeight="1" x14ac:dyDescent="0.2">
      <c r="B45" s="1269" t="s">
        <v>252</v>
      </c>
      <c r="C45" s="1269"/>
      <c r="D45" s="1269"/>
      <c r="E45" s="1269"/>
      <c r="F45" s="1269"/>
      <c r="G45" s="1269"/>
      <c r="H45" s="1269"/>
      <c r="I45" s="1269"/>
      <c r="J45" s="1269"/>
      <c r="K45" s="1269"/>
      <c r="L45" s="1269"/>
      <c r="M45" s="1269"/>
      <c r="N45" s="1269"/>
      <c r="O45" s="1269"/>
      <c r="P45" s="1269"/>
      <c r="Q45" s="1269"/>
      <c r="R45" s="1269"/>
      <c r="S45" s="1269"/>
      <c r="T45" s="1269"/>
      <c r="U45" s="1269"/>
      <c r="V45" s="1269"/>
      <c r="W45" s="1269"/>
      <c r="X45" s="1269"/>
      <c r="Y45" s="1269"/>
      <c r="Z45" s="1269"/>
      <c r="AA45" s="1269"/>
      <c r="AB45" s="1269"/>
      <c r="AC45" s="1269"/>
      <c r="AD45" s="1269"/>
      <c r="AE45" s="1269"/>
      <c r="AH45" s="611"/>
      <c r="AI45" s="611"/>
    </row>
    <row r="46" spans="1:35" ht="24.95" customHeight="1" thickBot="1" x14ac:dyDescent="0.25">
      <c r="B46" s="451" t="s">
        <v>90</v>
      </c>
      <c r="C46" s="452" t="s">
        <v>91</v>
      </c>
      <c r="D46" s="448" t="s">
        <v>172</v>
      </c>
      <c r="E46" s="453" t="s">
        <v>92</v>
      </c>
      <c r="F46" s="449" t="s">
        <v>114</v>
      </c>
      <c r="G46" s="449" t="s">
        <v>96</v>
      </c>
      <c r="H46" s="449" t="s">
        <v>223</v>
      </c>
      <c r="I46" s="454" t="s">
        <v>103</v>
      </c>
      <c r="J46" s="454" t="s">
        <v>178</v>
      </c>
      <c r="K46" s="526" t="s">
        <v>225</v>
      </c>
      <c r="L46" s="526" t="s">
        <v>228</v>
      </c>
      <c r="M46" s="449" t="s">
        <v>97</v>
      </c>
      <c r="N46" s="527" t="s">
        <v>226</v>
      </c>
      <c r="O46" s="527" t="s">
        <v>227</v>
      </c>
      <c r="P46" s="527" t="s">
        <v>224</v>
      </c>
      <c r="Q46" s="527" t="s">
        <v>106</v>
      </c>
      <c r="R46" s="527" t="s">
        <v>181</v>
      </c>
      <c r="S46" s="527" t="s">
        <v>421</v>
      </c>
      <c r="T46" s="527" t="s">
        <v>195</v>
      </c>
      <c r="U46" s="527" t="s">
        <v>201</v>
      </c>
      <c r="V46" s="527" t="s">
        <v>179</v>
      </c>
      <c r="W46" s="527" t="s">
        <v>180</v>
      </c>
      <c r="X46" s="527" t="s">
        <v>193</v>
      </c>
      <c r="Y46" s="527" t="s">
        <v>194</v>
      </c>
      <c r="Z46" s="527" t="s">
        <v>418</v>
      </c>
      <c r="AA46" s="527" t="s">
        <v>417</v>
      </c>
      <c r="AB46" s="527" t="s">
        <v>105</v>
      </c>
      <c r="AC46" s="454" t="s">
        <v>93</v>
      </c>
      <c r="AD46" s="454" t="s">
        <v>94</v>
      </c>
      <c r="AE46" s="454" t="s">
        <v>95</v>
      </c>
      <c r="AH46" s="611"/>
      <c r="AI46" s="611"/>
    </row>
    <row r="47" spans="1:35" ht="24.95" customHeight="1" thickTop="1" x14ac:dyDescent="0.2">
      <c r="A47" s="427" t="str">
        <f>IF('Loan Entry'!$M47&gt;0,DATE((G47+1),1,1),"")</f>
        <v/>
      </c>
      <c r="B47" s="314"/>
      <c r="C47" s="315"/>
      <c r="D47" s="315"/>
      <c r="E47" s="857"/>
      <c r="F47" s="316"/>
      <c r="G47" s="317"/>
      <c r="H47" s="418" t="str">
        <f>IF(I47&gt;0,ROUNDDOWN(Year+I47,0),"")</f>
        <v/>
      </c>
      <c r="I47" s="317"/>
      <c r="J47" s="317"/>
      <c r="K47" s="418" t="e">
        <f>IF(H47&gt;0,IF(H47-Year=0,"yes","no"),"")</f>
        <v>#VALUE!</v>
      </c>
      <c r="L47" s="418" t="str">
        <f>IF('Loan Entry'!$J47&gt;0,DATE(G47,INDEX(Inputs!$C$4:$D$15,MATCH(J47,Months,0),2),1),"")</f>
        <v/>
      </c>
      <c r="M47" s="317"/>
      <c r="N47" s="418" t="str">
        <f>IF(M47&lt;&gt;0,IF(AND(K47="yes",M47="Monthly")=TRUE,CHOOSE(R47,"January","February","March","April","May","June","July","August","September","October","November","December"),RIGHT(AB47,3)),"")</f>
        <v/>
      </c>
      <c r="O47" s="418" t="str">
        <f>IF('Loan Entry'!$M47&gt;0,'Loan Entry'!$I47*'Loan Entry'!$Q47,"")</f>
        <v/>
      </c>
      <c r="P47" s="418" t="str">
        <f>IF(M47&gt;0,(H47-(G47-1))*IF(M47="Monthly",12,IF(M47="Quarterly",4,IF(M47="Semi-Annual",2,1))),"")</f>
        <v/>
      </c>
      <c r="Q47" s="418" t="str">
        <f>IF(M47&gt;0,IF(M47="Monthly",12,IF(M47="Quarterly",4,IF(M47="Semi-Annual",2,1))),"")</f>
        <v/>
      </c>
      <c r="R47" s="418" t="str">
        <f>IF(M47&gt;0,IF(I47&lt;1,IF(M47="Annual",1,(YEARFRAC(L47,A47,))*IF(M47="Monthly",O47,IF(M47="quarterly",O47*3,IF(M47="semi-annual",O47*2,12)))),IF(M47="Annual",1,(YEARFRAC(L47,A47,))*12)),"")</f>
        <v/>
      </c>
      <c r="S47" s="418">
        <f>IF(M47&gt;0,INDEX(Inputs!$J$26:$K$37,MATCH('Loan Entry'!N47,Inputs!$J$26:$J$37,0),2)/12,0)</f>
        <v>0</v>
      </c>
      <c r="T47" s="418" t="str">
        <f>IF(M47&lt;&gt;0,IF(R47&gt;12,12,ROUNDUP(IF(M47="Monthly",12*(R47/Q47),IF(M47="Quarterly",((R47/12)*Q47),IF(M47="Semi-Annual",IF(((R47/12)*Q47)&gt;1,2,1),1))),0)),"")</f>
        <v/>
      </c>
      <c r="U47" s="418" t="str">
        <f>IF(M47&gt;0,T47/Q47,"")</f>
        <v/>
      </c>
      <c r="V47" s="418" t="str">
        <f>IF('Loan Entry'!$M47&gt;0,IF(U47=1,X47/T47,(X47/T47)),"")</f>
        <v/>
      </c>
      <c r="W47" s="418" t="str">
        <f>IF('Loan Entry'!$M47&gt;0,IF(U47=1,Y47/T47,U47*(Y47/T47)),"")</f>
        <v/>
      </c>
      <c r="X47" s="418" t="str">
        <f>IF(E47&gt;0,IF('Loan Entry'!$M47&lt;&gt;0,CUMPRINC((365/360)*E47/Q47,O47,F47,1,T47,0)*-1,),'Loan Entry'!$AC47)</f>
        <v/>
      </c>
      <c r="Y47" s="418">
        <f>IF(E47&gt;0,IF('Loan Entry'!$M47&lt;&gt;0,CUMIPMT(((365/360)*E47)/Q47,O47,F47,1,T47,0)*-1,),0)</f>
        <v>0</v>
      </c>
      <c r="Z47" s="418">
        <f>IF(ISERROR(S47*IF(E47&gt;0,IF('Loan Entry'!$M47&lt;&gt;0,CUMIPMT(((365/360)*E47)/Q47,O47,F47,1,T47,0)*-1,),0))=FALSE,S47*IF(E47&gt;0,IF('Loan Entry'!$M47&lt;&gt;0,CUMIPMT(((365/360)*E47)/Q47,O47,F47,1,T47,0)*-1,),0),0)</f>
        <v>0</v>
      </c>
      <c r="AA47" s="418">
        <f>IF(ISERROR(S47*IF(E47&gt;0,IF('Loan Entry'!$M47&lt;&gt;0,CUMIPMT(((365/360)*E47)/Q47,O47-T47,F47,1+T47,T47+T47,0)*-1,),0))=FALSE,S47*IF(E47&gt;0,IF('Loan Entry'!$M47&lt;&gt;0,CUMIPMT(((365/360)*E47)/Q47,O47-T47,F47,1+T47,T47+T47,0)*-1,),0),0)</f>
        <v>0</v>
      </c>
      <c r="AB47" s="418" t="str">
        <f>IF(M47&lt;&gt;0,IF(K47="no",IF(M47="annual",INDEX(Inputs!$C$4:$E$15,MATCH('Loan Entry'!J47,Months,0),3),IF(M47="semi-annual",IF(T47=2,CONCATENATE(INDEX(Inputs!$C$4:$E$15,MATCH('Loan Entry'!J47,Months,0),3),",",INDEX(Inputs!$C$4:$E$15,MATCH(MONTH(L47+190),Inputs!$D$4:$D$15,0),3)),INDEX(Inputs!$C$4:$E$15,MATCH('Loan Entry'!J47,Months,0),3)),IF(M47="Quarterly",IF(T47=4,CONCATENATE(INDEX(Inputs!$C$4:$E$15,MATCH('Loan Entry'!J47,Months,0),3),",",INDEX(Inputs!$C$4:$E$15,MATCH(MONTH(L47+95),Inputs!$D$4:$D$15,0),3),",",INDEX(Inputs!$C$4:$E$15,MATCH(MONTH(L47+190),Inputs!$D$4:$D$15,0),3),",",INDEX(Inputs!$C$4:$E$15,MATCH(MONTH(L47+275),Inputs!$D$4:$D$15,0),3)),IF(T47=3,CONCATENATE(INDEX(Inputs!$C$4:$E$15,MATCH('Loan Entry'!J47,Months,0),3),",",INDEX(Inputs!$C$4:$E$15,MATCH(MONTH(L47+95),Inputs!$D$4:$D$15,0),3),",",INDEX(Inputs!$C$4:$E$15,MATCH(MONTH(L47+190),Inputs!$D$4:$D$15,0),3)),IF(T47=2,CONCATENATE(INDEX(Inputs!$C$4:$E$15,MATCH('Loan Entry'!J47,Months,0),3),",",INDEX(Inputs!$C$4:$E$15,MATCH(MONTH(L47+95),Inputs!$D$4:$D$15,0),3)),INDEX(Inputs!$C$4:$E$15,MATCH('Loan Entry'!J47,Months,0),3)))),INDEX(Inputs!$C$4:$F$15,MATCH('Loan Entry'!J47,Months,0),4)))),IF(M47="annual",INDEX(Inputs!$C$4:$E$15,MATCH('Loan Entry'!J47,Months,0),3),IF(M47="semi-annual",IF(T47=2,CONCATENATE(INDEX(Inputs!$C$4:$E$15,MATCH('Loan Entry'!J47,Months,0),3),",",INDEX(Inputs!$C$4:$E$15,MATCH(MONTH(L47+190),Inputs!$D$4:$D$15,0),3)),INDEX(Inputs!$C$4:$E$15,MATCH('Loan Entry'!J47,Months,0),3)),IF(M47="Quarterly",IF(T47=4,CONCATENATE(INDEX(Inputs!$C$4:$E$15,MATCH('Loan Entry'!J47,Months,0),3),",",INDEX(Inputs!$C$4:$E$15,MATCH(MONTH(L47+95),Inputs!$D$4:$D$15,0),3),",",INDEX(Inputs!$C$4:$E$15,MATCH(MONTH(L47+190),Inputs!$D$4:$D$15,0),3),",",INDEX(Inputs!$C$4:$E$15,MATCH(MONTH(L47+275),Inputs!$D$4:$D$15,0),3)),IF(T47=3,CONCATENATE(INDEX(Inputs!$C$4:$E$15,MATCH('Loan Entry'!J47,Months,0),3),",",INDEX(Inputs!$C$4:$E$15,MATCH(MONTH(L47+95),Inputs!$D$4:$D$15,0),3),",",INDEX(Inputs!$C$4:$E$15,MATCH(MONTH(L47+190),Inputs!$D$4:$D$15,0),3)),IF(T47=2,CONCATENATE(INDEX(Inputs!$C$4:$E$15,MATCH('Loan Entry'!J47,Months,0),3),",",INDEX(Inputs!$C$4:$E$15,MATCH(MONTH(L47+95),Inputs!$D$4:$D$15,0),3)),INDEX(Inputs!$C$4:$G$15,MATCH('Loan Entry'!J47,Months,0),3)))),INDEX(Inputs!$C$4:$G$15,MATCH('Loan Entry'!N47,Months,0),5))))),"")</f>
        <v/>
      </c>
      <c r="AC47" s="842" t="str">
        <f>IF('Loan Entry'!$M47&gt;0,PMT((365/360)*'Loan Entry'!$E47/'Loan Entry'!$Q47,'Loan Entry'!$O47,'Loan Entry'!$F47*-1)*MIN('Loan Entry'!$Q47,O47),"")</f>
        <v/>
      </c>
      <c r="AD47" s="843" t="str">
        <f>IF(F47&gt;0,IF('Loan Entry'!$M47&lt;&gt;0,IF(U47=1,X47,IF(E47=0,U47*X47,X47)),'Loan Entry'!$AC47),"")</f>
        <v/>
      </c>
      <c r="AE47" s="848" t="str">
        <f>IF('Loan Entry'!$M47&gt;0,'Loan Entry'!$F47-'Loan Entry'!$AD47,"")</f>
        <v/>
      </c>
      <c r="AF47" s="595" t="str">
        <f>IF(AE47&gt;0,AC47,0)</f>
        <v/>
      </c>
      <c r="AG47" s="595"/>
      <c r="AH47" s="611" t="str">
        <f>IF(AE47&lt;&gt;0,IF(AE47&lt;AD47,AE47,IF(E47&gt;0,IF('Loan Entry'!$M47&lt;&gt;0,CUMPRINC(E47/Q47,(O47-T47),AE47,1,T47,0)*-1,),'Loan Entry'!$AC47)),0)</f>
        <v/>
      </c>
      <c r="AI47" s="611">
        <f>IF(M47&gt;0,AE47-AH47,0)</f>
        <v>0</v>
      </c>
    </row>
    <row r="48" spans="1:35" ht="24.95" customHeight="1" x14ac:dyDescent="0.2">
      <c r="A48" s="429" t="str">
        <f>IF('Loan Entry'!$M48&gt;0,DATE((G48+1),1,1),"")</f>
        <v/>
      </c>
      <c r="B48" s="318"/>
      <c r="C48" s="319"/>
      <c r="D48" s="319"/>
      <c r="E48" s="858"/>
      <c r="F48" s="320"/>
      <c r="G48" s="321"/>
      <c r="H48" s="419" t="str">
        <f>IF(I48&gt;0,ROUNDDOWN(Year+I48,0),"")</f>
        <v/>
      </c>
      <c r="I48" s="321"/>
      <c r="J48" s="321"/>
      <c r="K48" s="419" t="e">
        <f>IF(H48&gt;0,IF(H48-Year=0,"yes","no"),"")</f>
        <v>#VALUE!</v>
      </c>
      <c r="L48" s="419" t="str">
        <f>IF('Loan Entry'!$J48&gt;0,DATE(G48,INDEX(Inputs!$C$4:$D$15,MATCH(J48,Months,0),2),1),"")</f>
        <v/>
      </c>
      <c r="M48" s="321"/>
      <c r="N48" s="419" t="str">
        <f>IF(M48&lt;&gt;0,IF(AND(K48="yes",M48="Monthly")=TRUE,CHOOSE(R48,"January","February","March","April","May","June","July","August","September","October","November","December"),RIGHT(AB48,3)),"")</f>
        <v/>
      </c>
      <c r="O48" s="537" t="str">
        <f>IF('Loan Entry'!$M48&gt;0,'Loan Entry'!$I48*'Loan Entry'!$Q48,"")</f>
        <v/>
      </c>
      <c r="P48" s="537" t="str">
        <f>IF(M48&gt;0,(H48-(G48-1))*IF(M48="Monthly",12,IF(M48="Quarterly",4,IF(M48="Semi-Annual",2,1))),"")</f>
        <v/>
      </c>
      <c r="Q48" s="537" t="str">
        <f>IF(M48&gt;0,IF(M48="Monthly",12,IF(M48="Quarterly",4,IF(M48="Semi-Annual",2,1))),"")</f>
        <v/>
      </c>
      <c r="R48" s="537" t="str">
        <f>IF(M48&gt;0,IF(I48&lt;1,IF(M48="Annual",1,(YEARFRAC(L48,A48,))*IF(M48="Monthly",O48,IF(M48="quarterly",O48*3,IF(M48="semi-annual",O48*2,12)))),IF(M48="Annual",1,(YEARFRAC(L48,A48,))*12)),"")</f>
        <v/>
      </c>
      <c r="S48" s="537">
        <f>IF(M48&gt;0,INDEX(Inputs!$J$26:$K$37,MATCH('Loan Entry'!N48,Inputs!$J$26:$J$37,0),2)/12,0)</f>
        <v>0</v>
      </c>
      <c r="T48" s="537" t="str">
        <f>IF(M48&lt;&gt;0,IF(R48&gt;12,12,ROUNDUP(IF(M48="Monthly",12*(R48/Q48),IF(M48="Quarterly",((R48/12)*Q48),IF(M48="Semi-Annual",IF(((R48/12)*Q48)&gt;1,2,1),1))),0)),"")</f>
        <v/>
      </c>
      <c r="U48" s="537" t="str">
        <f>IF(M48&gt;0,T48/Q48,"")</f>
        <v/>
      </c>
      <c r="V48" s="537" t="str">
        <f>IF('Loan Entry'!$M48&gt;0,IF(U48=1,X48/T48,(X48/T48)),"")</f>
        <v/>
      </c>
      <c r="W48" s="537" t="str">
        <f>IF('Loan Entry'!$M48&gt;0,IF(U48=1,Y48/T48,U48*(Y48/T48)),"")</f>
        <v/>
      </c>
      <c r="X48" s="537" t="str">
        <f>IF(E48&gt;0,IF('Loan Entry'!$M48&lt;&gt;0,CUMPRINC((365/360)*E48/Q48,O48,F48,1,T48,0)*-1,),'Loan Entry'!$AC48)</f>
        <v/>
      </c>
      <c r="Y48" s="537">
        <f>IF(E48&gt;0,IF('Loan Entry'!$M48&lt;&gt;0,CUMIPMT(((365/360)*E48)/Q48,O48,F48,1,T48,0)*-1,),0)</f>
        <v>0</v>
      </c>
      <c r="Z48" s="537">
        <f>IF(ISERROR(S48*IF(E48&gt;0,IF('Loan Entry'!$M48&lt;&gt;0,CUMIPMT(((365/360)*E48)/Q48,O48,F48,1,T48,0)*-1,),0))=FALSE,S48*IF(E48&gt;0,IF('Loan Entry'!$M48&lt;&gt;0,CUMIPMT(((365/360)*E48)/Q48,O48,F48,1,T48,0)*-1,),0),0)</f>
        <v>0</v>
      </c>
      <c r="AA48" s="537">
        <f>IF(ISERROR(S48*IF(E48&gt;0,IF('Loan Entry'!$M48&lt;&gt;0,CUMIPMT(((365/360)*E48)/Q48,O48-T48,F48,1+T48,T48+T48,0)*-1,),0))=FALSE,S48*IF(E48&gt;0,IF('Loan Entry'!$M48&lt;&gt;0,CUMIPMT(((365/360)*E48)/Q48,O48-T48,F48,1+T48,T48+T48,0)*-1,),0),0)</f>
        <v>0</v>
      </c>
      <c r="AB48" s="537" t="str">
        <f>IF(M48&lt;&gt;0,IF(K48="no",IF(M48="annual",INDEX(Inputs!$C$4:$E$15,MATCH('Loan Entry'!J48,Months,0),3),IF(M48="semi-annual",IF(T48=2,CONCATENATE(INDEX(Inputs!$C$4:$E$15,MATCH('Loan Entry'!J48,Months,0),3),",",INDEX(Inputs!$C$4:$E$15,MATCH(MONTH(L48+190),Inputs!$D$4:$D$15,0),3)),INDEX(Inputs!$C$4:$E$15,MATCH('Loan Entry'!J48,Months,0),3)),IF(M48="Quarterly",IF(T48=4,CONCATENATE(INDEX(Inputs!$C$4:$E$15,MATCH('Loan Entry'!J48,Months,0),3),",",INDEX(Inputs!$C$4:$E$15,MATCH(MONTH(L48+95),Inputs!$D$4:$D$15,0),3),",",INDEX(Inputs!$C$4:$E$15,MATCH(MONTH(L48+190),Inputs!$D$4:$D$15,0),3),",",INDEX(Inputs!$C$4:$E$15,MATCH(MONTH(L48+275),Inputs!$D$4:$D$15,0),3)),IF(T48=3,CONCATENATE(INDEX(Inputs!$C$4:$E$15,MATCH('Loan Entry'!J48,Months,0),3),",",INDEX(Inputs!$C$4:$E$15,MATCH(MONTH(L48+95),Inputs!$D$4:$D$15,0),3),",",INDEX(Inputs!$C$4:$E$15,MATCH(MONTH(L48+190),Inputs!$D$4:$D$15,0),3)),IF(T48=2,CONCATENATE(INDEX(Inputs!$C$4:$E$15,MATCH('Loan Entry'!J48,Months,0),3),",",INDEX(Inputs!$C$4:$E$15,MATCH(MONTH(L48+95),Inputs!$D$4:$D$15,0),3)),INDEX(Inputs!$C$4:$E$15,MATCH('Loan Entry'!J48,Months,0),3)))),INDEX(Inputs!$C$4:$F$15,MATCH('Loan Entry'!J48,Months,0),4)))),IF(M48="annual",INDEX(Inputs!$C$4:$E$15,MATCH('Loan Entry'!J48,Months,0),3),IF(M48="semi-annual",IF(T48=2,CONCATENATE(INDEX(Inputs!$C$4:$E$15,MATCH('Loan Entry'!J48,Months,0),3),",",INDEX(Inputs!$C$4:$E$15,MATCH(MONTH(L48+190),Inputs!$D$4:$D$15,0),3)),INDEX(Inputs!$C$4:$E$15,MATCH('Loan Entry'!J48,Months,0),3)),IF(M48="Quarterly",IF(T48=4,CONCATENATE(INDEX(Inputs!$C$4:$E$15,MATCH('Loan Entry'!J48,Months,0),3),",",INDEX(Inputs!$C$4:$E$15,MATCH(MONTH(L48+95),Inputs!$D$4:$D$15,0),3),",",INDEX(Inputs!$C$4:$E$15,MATCH(MONTH(L48+190),Inputs!$D$4:$D$15,0),3),",",INDEX(Inputs!$C$4:$E$15,MATCH(MONTH(L48+275),Inputs!$D$4:$D$15,0),3)),IF(T48=3,CONCATENATE(INDEX(Inputs!$C$4:$E$15,MATCH('Loan Entry'!J48,Months,0),3),",",INDEX(Inputs!$C$4:$E$15,MATCH(MONTH(L48+95),Inputs!$D$4:$D$15,0),3),",",INDEX(Inputs!$C$4:$E$15,MATCH(MONTH(L48+190),Inputs!$D$4:$D$15,0),3)),IF(T48=2,CONCATENATE(INDEX(Inputs!$C$4:$E$15,MATCH('Loan Entry'!J48,Months,0),3),",",INDEX(Inputs!$C$4:$E$15,MATCH(MONTH(L48+95),Inputs!$D$4:$D$15,0),3)),INDEX(Inputs!$C$4:$G$15,MATCH('Loan Entry'!J48,Months,0),3)))),INDEX(Inputs!$C$4:$G$15,MATCH('Loan Entry'!N48,Months,0),5))))),"")</f>
        <v/>
      </c>
      <c r="AC48" s="844" t="str">
        <f>IF('Loan Entry'!$M48&gt;0,PMT((365/360)*'Loan Entry'!$E48/'Loan Entry'!$Q48,'Loan Entry'!$O48,'Loan Entry'!$F48*-1)*MIN('Loan Entry'!$Q48,O48),"")</f>
        <v/>
      </c>
      <c r="AD48" s="845" t="str">
        <f>IF(F48&gt;0,IF('Loan Entry'!$M48&lt;&gt;0,IF(U48=1,X48,IF(E48=0,U48*X48,X48)),'Loan Entry'!$AC48),"")</f>
        <v/>
      </c>
      <c r="AE48" s="849" t="str">
        <f>IF('Loan Entry'!$M48&gt;0,'Loan Entry'!$F48-'Loan Entry'!$AD48,"")</f>
        <v/>
      </c>
      <c r="AF48" s="595" t="str">
        <f>IF(AE48&gt;0,AC48,0)</f>
        <v/>
      </c>
      <c r="AG48" s="595"/>
      <c r="AH48" s="611" t="str">
        <f>IF(AE48&lt;&gt;0,IF(AE48&lt;AD48,AE48,IF(E48&gt;0,IF('Loan Entry'!$M48&lt;&gt;0,CUMPRINC(E48/Q48,(O48-T48),AE48,1,T48,0)*-1,),'Loan Entry'!$AC48)),0)</f>
        <v/>
      </c>
      <c r="AI48" s="611">
        <f>IF(M48&gt;0,AE48-AH48,0)</f>
        <v>0</v>
      </c>
    </row>
    <row r="49" spans="1:35" ht="24.95" customHeight="1" x14ac:dyDescent="0.2">
      <c r="A49" s="429" t="str">
        <f>IF('Loan Entry'!$M49&gt;0,DATE((G49+1),1,1),"")</f>
        <v/>
      </c>
      <c r="B49" s="322"/>
      <c r="C49" s="323"/>
      <c r="D49" s="323"/>
      <c r="E49" s="859"/>
      <c r="F49" s="324"/>
      <c r="G49" s="325"/>
      <c r="H49" s="420" t="str">
        <f>IF(I49&gt;0,ROUNDDOWN(Year+I49,0),"")</f>
        <v/>
      </c>
      <c r="I49" s="325"/>
      <c r="J49" s="325"/>
      <c r="K49" s="420" t="e">
        <f>IF(H49&gt;0,IF(H49-Year=0,"yes","no"),"")</f>
        <v>#VALUE!</v>
      </c>
      <c r="L49" s="420" t="str">
        <f>IF('Loan Entry'!$J49&gt;0,DATE(G49,INDEX(Inputs!$C$4:$D$15,MATCH(J49,Months,0),2),1),"")</f>
        <v/>
      </c>
      <c r="M49" s="325"/>
      <c r="N49" s="420" t="str">
        <f>IF(M49&lt;&gt;0,IF(AND(K49="yes",M49="Monthly")=TRUE,CHOOSE(R49,"January","February","March","April","May","June","July","August","September","October","November","December"),RIGHT(AB49,3)),"")</f>
        <v/>
      </c>
      <c r="O49" s="539" t="str">
        <f>IF('Loan Entry'!$M49&gt;0,'Loan Entry'!$I49*'Loan Entry'!$Q49,"")</f>
        <v/>
      </c>
      <c r="P49" s="539" t="str">
        <f>IF(M49&gt;0,(H49-(G49-1))*IF(M49="Monthly",12,IF(M49="Quarterly",4,IF(M49="Semi-Annual",2,1))),"")</f>
        <v/>
      </c>
      <c r="Q49" s="539" t="str">
        <f>IF(M49&gt;0,IF(M49="Monthly",12,IF(M49="Quarterly",4,IF(M49="Semi-Annual",2,1))),"")</f>
        <v/>
      </c>
      <c r="R49" s="539" t="str">
        <f>IF(M49&gt;0,IF(I49&lt;1,IF(M49="Annual",1,(YEARFRAC(L49,A49,))*IF(M49="Monthly",O49,IF(M49="quarterly",O49*3,IF(M49="semi-annual",O49*2,12)))),IF(M49="Annual",1,(YEARFRAC(L49,A49,))*12)),"")</f>
        <v/>
      </c>
      <c r="S49" s="539">
        <f>IF(M49&gt;0,INDEX(Inputs!$J$26:$K$37,MATCH('Loan Entry'!N49,Inputs!$J$26:$J$37,0),2)/12,0)</f>
        <v>0</v>
      </c>
      <c r="T49" s="539" t="str">
        <f>IF(M49&lt;&gt;0,IF(R49&gt;12,12,ROUNDUP(IF(M49="Monthly",12*(R49/Q49),IF(M49="Quarterly",((R49/12)*Q49),IF(M49="Semi-Annual",IF(((R49/12)*Q49)&gt;1,2,1),1))),0)),"")</f>
        <v/>
      </c>
      <c r="U49" s="539" t="str">
        <f>IF(M49&gt;0,T49/Q49,"")</f>
        <v/>
      </c>
      <c r="V49" s="539" t="str">
        <f>IF('Loan Entry'!$M49&gt;0,IF(U49=1,X49/T49,(X49/T49)),"")</f>
        <v/>
      </c>
      <c r="W49" s="539" t="str">
        <f>IF('Loan Entry'!$M49&gt;0,IF(U49=1,Y49/T49,U49*(Y49/T49)),"")</f>
        <v/>
      </c>
      <c r="X49" s="539" t="str">
        <f>IF(E49&gt;0,IF('Loan Entry'!$M49&lt;&gt;0,CUMPRINC((365/360)*E49/Q49,O49,F49,1,T49,0)*-1,),'Loan Entry'!$AC49)</f>
        <v/>
      </c>
      <c r="Y49" s="539">
        <f>IF(E49&gt;0,IF('Loan Entry'!$M49&lt;&gt;0,CUMIPMT(((365/360)*E49)/Q49,O49,F49,1,T49,0)*-1,),0)</f>
        <v>0</v>
      </c>
      <c r="Z49" s="539">
        <f>IF(ISERROR(S49*IF(E49&gt;0,IF('Loan Entry'!$M49&lt;&gt;0,CUMIPMT(((365/360)*E49)/Q49,O49,F49,1,T49,0)*-1,),0))=FALSE,S49*IF(E49&gt;0,IF('Loan Entry'!$M49&lt;&gt;0,CUMIPMT(((365/360)*E49)/Q49,O49,F49,1,T49,0)*-1,),0),0)</f>
        <v>0</v>
      </c>
      <c r="AA49" s="539">
        <f>IF(ISERROR(S49*IF(E49&gt;0,IF('Loan Entry'!$M49&lt;&gt;0,CUMIPMT(((365/360)*E49)/Q49,O49-T49,F49,1+T49,T49+T49,0)*-1,),0))=FALSE,S49*IF(E49&gt;0,IF('Loan Entry'!$M49&lt;&gt;0,CUMIPMT(((365/360)*E49)/Q49,O49-T49,F49,1+T49,T49+T49,0)*-1,),0),0)</f>
        <v>0</v>
      </c>
      <c r="AB49" s="539" t="str">
        <f>IF(M49&lt;&gt;0,IF(K49="no",IF(M49="annual",INDEX(Inputs!$C$4:$E$15,MATCH('Loan Entry'!J49,Months,0),3),IF(M49="semi-annual",IF(T49=2,CONCATENATE(INDEX(Inputs!$C$4:$E$15,MATCH('Loan Entry'!J49,Months,0),3),",",INDEX(Inputs!$C$4:$E$15,MATCH(MONTH(L49+190),Inputs!$D$4:$D$15,0),3)),INDEX(Inputs!$C$4:$E$15,MATCH('Loan Entry'!J49,Months,0),3)),IF(M49="Quarterly",IF(T49=4,CONCATENATE(INDEX(Inputs!$C$4:$E$15,MATCH('Loan Entry'!J49,Months,0),3),",",INDEX(Inputs!$C$4:$E$15,MATCH(MONTH(L49+95),Inputs!$D$4:$D$15,0),3),",",INDEX(Inputs!$C$4:$E$15,MATCH(MONTH(L49+190),Inputs!$D$4:$D$15,0),3),",",INDEX(Inputs!$C$4:$E$15,MATCH(MONTH(L49+275),Inputs!$D$4:$D$15,0),3)),IF(T49=3,CONCATENATE(INDEX(Inputs!$C$4:$E$15,MATCH('Loan Entry'!J49,Months,0),3),",",INDEX(Inputs!$C$4:$E$15,MATCH(MONTH(L49+95),Inputs!$D$4:$D$15,0),3),",",INDEX(Inputs!$C$4:$E$15,MATCH(MONTH(L49+190),Inputs!$D$4:$D$15,0),3)),IF(T49=2,CONCATENATE(INDEX(Inputs!$C$4:$E$15,MATCH('Loan Entry'!J49,Months,0),3),",",INDEX(Inputs!$C$4:$E$15,MATCH(MONTH(L49+95),Inputs!$D$4:$D$15,0),3)),INDEX(Inputs!$C$4:$E$15,MATCH('Loan Entry'!J49,Months,0),3)))),INDEX(Inputs!$C$4:$F$15,MATCH('Loan Entry'!J49,Months,0),4)))),IF(M49="annual",INDEX(Inputs!$C$4:$E$15,MATCH('Loan Entry'!J49,Months,0),3),IF(M49="semi-annual",IF(T49=2,CONCATENATE(INDEX(Inputs!$C$4:$E$15,MATCH('Loan Entry'!J49,Months,0),3),",",INDEX(Inputs!$C$4:$E$15,MATCH(MONTH(L49+190),Inputs!$D$4:$D$15,0),3)),INDEX(Inputs!$C$4:$E$15,MATCH('Loan Entry'!J49,Months,0),3)),IF(M49="Quarterly",IF(T49=4,CONCATENATE(INDEX(Inputs!$C$4:$E$15,MATCH('Loan Entry'!J49,Months,0),3),",",INDEX(Inputs!$C$4:$E$15,MATCH(MONTH(L49+95),Inputs!$D$4:$D$15,0),3),",",INDEX(Inputs!$C$4:$E$15,MATCH(MONTH(L49+190),Inputs!$D$4:$D$15,0),3),",",INDEX(Inputs!$C$4:$E$15,MATCH(MONTH(L49+275),Inputs!$D$4:$D$15,0),3)),IF(T49=3,CONCATENATE(INDEX(Inputs!$C$4:$E$15,MATCH('Loan Entry'!J49,Months,0),3),",",INDEX(Inputs!$C$4:$E$15,MATCH(MONTH(L49+95),Inputs!$D$4:$D$15,0),3),",",INDEX(Inputs!$C$4:$E$15,MATCH(MONTH(L49+190),Inputs!$D$4:$D$15,0),3)),IF(T49=2,CONCATENATE(INDEX(Inputs!$C$4:$E$15,MATCH('Loan Entry'!J49,Months,0),3),",",INDEX(Inputs!$C$4:$E$15,MATCH(MONTH(L49+95),Inputs!$D$4:$D$15,0),3)),INDEX(Inputs!$C$4:$G$15,MATCH('Loan Entry'!J49,Months,0),3)))),INDEX(Inputs!$C$4:$G$15,MATCH('Loan Entry'!N49,Months,0),5))))),"")</f>
        <v/>
      </c>
      <c r="AC49" s="846" t="str">
        <f>IF('Loan Entry'!$M49&gt;0,PMT((365/360)*'Loan Entry'!$E49/'Loan Entry'!$Q49,'Loan Entry'!$O49,'Loan Entry'!$F49*-1)*MIN('Loan Entry'!$Q49,O49),"")</f>
        <v/>
      </c>
      <c r="AD49" s="847" t="str">
        <f>IF(F49&gt;0,IF('Loan Entry'!$M49&lt;&gt;0,IF(U49=1,X49,IF(E49=0,U49*X49,X49)),'Loan Entry'!$AC49),"")</f>
        <v/>
      </c>
      <c r="AE49" s="850" t="str">
        <f>IF('Loan Entry'!$M49&gt;0,'Loan Entry'!$F49-'Loan Entry'!$AD49,"")</f>
        <v/>
      </c>
      <c r="AF49" s="595" t="str">
        <f>IF(AE49&gt;0,AC49,0)</f>
        <v/>
      </c>
      <c r="AG49" s="595"/>
      <c r="AH49" s="611" t="str">
        <f>IF(AE49&lt;&gt;0,IF(AE49&lt;AD49,AE49,IF(E49&gt;0,IF('Loan Entry'!$M49&lt;&gt;0,CUMPRINC(E49/Q49,(O49-T49),AE49,1,T49,0)*-1,),'Loan Entry'!$AC49)),0)</f>
        <v/>
      </c>
      <c r="AI49" s="611">
        <f>IF(M49&gt;0,AE49-AH49,0)</f>
        <v>0</v>
      </c>
    </row>
    <row r="50" spans="1:35" ht="24.95" customHeight="1" x14ac:dyDescent="0.2">
      <c r="A50" s="429" t="str">
        <f>IF('Loan Entry'!$M50&gt;0,DATE((G50+1),1,1),"")</f>
        <v/>
      </c>
      <c r="B50" s="318"/>
      <c r="C50" s="319"/>
      <c r="D50" s="319"/>
      <c r="E50" s="858"/>
      <c r="F50" s="320"/>
      <c r="G50" s="321"/>
      <c r="H50" s="419" t="str">
        <f>IF(I50&gt;0,ROUNDDOWN(Year+I50,0),"")</f>
        <v/>
      </c>
      <c r="I50" s="321"/>
      <c r="J50" s="321"/>
      <c r="K50" s="419" t="e">
        <f>IF(H50&gt;0,IF(H50-Year=0,"yes","no"),"")</f>
        <v>#VALUE!</v>
      </c>
      <c r="L50" s="419" t="str">
        <f>IF('Loan Entry'!$J50&gt;0,DATE(G50,INDEX(Inputs!$C$4:$D$15,MATCH(J50,Months,0),2),1),"")</f>
        <v/>
      </c>
      <c r="M50" s="321"/>
      <c r="N50" s="419" t="str">
        <f>IF(M50&lt;&gt;0,IF(AND(K50="yes",M50="Monthly")=TRUE,CHOOSE(R50,"January","February","March","April","May","June","July","August","September","October","November","December"),RIGHT(AB50,3)),"")</f>
        <v/>
      </c>
      <c r="O50" s="537" t="str">
        <f>IF('Loan Entry'!$M50&gt;0,'Loan Entry'!$I50*'Loan Entry'!$Q50,"")</f>
        <v/>
      </c>
      <c r="P50" s="537" t="str">
        <f>IF(M50&gt;0,(H50-(G50-1))*IF(M50="Monthly",12,IF(M50="Quarterly",4,IF(M50="Semi-Annual",2,1))),"")</f>
        <v/>
      </c>
      <c r="Q50" s="537" t="str">
        <f>IF(M50&gt;0,IF(M50="Monthly",12,IF(M50="Quarterly",4,IF(M50="Semi-Annual",2,1))),"")</f>
        <v/>
      </c>
      <c r="R50" s="537" t="str">
        <f>IF(M50&gt;0,IF(I50&lt;1,IF(M50="Annual",1,(YEARFRAC(L50,A50,))*IF(M50="Monthly",O50,IF(M50="quarterly",O50*3,IF(M50="semi-annual",O50*2,12)))),IF(M50="Annual",1,(YEARFRAC(L50,A50,))*12)),"")</f>
        <v/>
      </c>
      <c r="S50" s="537">
        <f>IF(M50&gt;0,INDEX(Inputs!$J$26:$K$37,MATCH('Loan Entry'!N50,Inputs!$J$26:$J$37,0),2)/12,0)</f>
        <v>0</v>
      </c>
      <c r="T50" s="537" t="str">
        <f>IF(M50&lt;&gt;0,IF(R50&gt;12,12,ROUNDUP(IF(M50="Monthly",12*(R50/Q50),IF(M50="Quarterly",((R50/12)*Q50),IF(M50="Semi-Annual",IF(((R50/12)*Q50)&gt;1,2,1),1))),0)),"")</f>
        <v/>
      </c>
      <c r="U50" s="537" t="str">
        <f>IF(M50&gt;0,T50/Q50,"")</f>
        <v/>
      </c>
      <c r="V50" s="537" t="str">
        <f>IF('Loan Entry'!$M50&gt;0,IF(U50=1,X50/T50,(X50/T50)),"")</f>
        <v/>
      </c>
      <c r="W50" s="537" t="str">
        <f>IF('Loan Entry'!$M50&gt;0,IF(U50=1,Y50/T50,U50*(Y50/T50)),"")</f>
        <v/>
      </c>
      <c r="X50" s="537" t="str">
        <f>IF(E50&gt;0,IF('Loan Entry'!$M50&lt;&gt;0,CUMPRINC((365/360)*E50/Q50,O50,F50,1,T50,0)*-1,),'Loan Entry'!$AC50)</f>
        <v/>
      </c>
      <c r="Y50" s="537">
        <f>IF(E50&gt;0,IF('Loan Entry'!$M50&lt;&gt;0,CUMIPMT(((365/360)*E50)/Q50,O50,F50,1,T50,0)*-1,),0)</f>
        <v>0</v>
      </c>
      <c r="Z50" s="537">
        <f>IF(ISERROR(S50*IF(E50&gt;0,IF('Loan Entry'!$M50&lt;&gt;0,CUMIPMT(((365/360)*E50)/Q50,O50,F50,1,T50,0)*-1,),0))=FALSE,S50*IF(E50&gt;0,IF('Loan Entry'!$M50&lt;&gt;0,CUMIPMT(((365/360)*E50)/Q50,O50,F50,1,T50,0)*-1,),0),0)</f>
        <v>0</v>
      </c>
      <c r="AA50" s="537">
        <f>IF(ISERROR(S50*IF(E50&gt;0,IF('Loan Entry'!$M50&lt;&gt;0,CUMIPMT(((365/360)*E50)/Q50,O50-T50,F50,1+T50,T50+T50,0)*-1,),0))=FALSE,S50*IF(E50&gt;0,IF('Loan Entry'!$M50&lt;&gt;0,CUMIPMT(((365/360)*E50)/Q50,O50-T50,F50,1+T50,T50+T50,0)*-1,),0),0)</f>
        <v>0</v>
      </c>
      <c r="AB50" s="537" t="str">
        <f>IF(M50&lt;&gt;0,IF(K50="no",IF(M50="annual",INDEX(Inputs!$C$4:$E$15,MATCH('Loan Entry'!J50,Months,0),3),IF(M50="semi-annual",IF(T50=2,CONCATENATE(INDEX(Inputs!$C$4:$E$15,MATCH('Loan Entry'!J50,Months,0),3),",",INDEX(Inputs!$C$4:$E$15,MATCH(MONTH(L50+190),Inputs!$D$4:$D$15,0),3)),INDEX(Inputs!$C$4:$E$15,MATCH('Loan Entry'!J50,Months,0),3)),IF(M50="Quarterly",IF(T50=4,CONCATENATE(INDEX(Inputs!$C$4:$E$15,MATCH('Loan Entry'!J50,Months,0),3),",",INDEX(Inputs!$C$4:$E$15,MATCH(MONTH(L50+95),Inputs!$D$4:$D$15,0),3),",",INDEX(Inputs!$C$4:$E$15,MATCH(MONTH(L50+190),Inputs!$D$4:$D$15,0),3),",",INDEX(Inputs!$C$4:$E$15,MATCH(MONTH(L50+275),Inputs!$D$4:$D$15,0),3)),IF(T50=3,CONCATENATE(INDEX(Inputs!$C$4:$E$15,MATCH('Loan Entry'!J50,Months,0),3),",",INDEX(Inputs!$C$4:$E$15,MATCH(MONTH(L50+95),Inputs!$D$4:$D$15,0),3),",",INDEX(Inputs!$C$4:$E$15,MATCH(MONTH(L50+190),Inputs!$D$4:$D$15,0),3)),IF(T50=2,CONCATENATE(INDEX(Inputs!$C$4:$E$15,MATCH('Loan Entry'!J50,Months,0),3),",",INDEX(Inputs!$C$4:$E$15,MATCH(MONTH(L50+95),Inputs!$D$4:$D$15,0),3)),INDEX(Inputs!$C$4:$E$15,MATCH('Loan Entry'!J50,Months,0),3)))),INDEX(Inputs!$C$4:$F$15,MATCH('Loan Entry'!J50,Months,0),4)))),IF(M50="annual",INDEX(Inputs!$C$4:$E$15,MATCH('Loan Entry'!J50,Months,0),3),IF(M50="semi-annual",IF(T50=2,CONCATENATE(INDEX(Inputs!$C$4:$E$15,MATCH('Loan Entry'!J50,Months,0),3),",",INDEX(Inputs!$C$4:$E$15,MATCH(MONTH(L50+190),Inputs!$D$4:$D$15,0),3)),INDEX(Inputs!$C$4:$E$15,MATCH('Loan Entry'!J50,Months,0),3)),IF(M50="Quarterly",IF(T50=4,CONCATENATE(INDEX(Inputs!$C$4:$E$15,MATCH('Loan Entry'!J50,Months,0),3),",",INDEX(Inputs!$C$4:$E$15,MATCH(MONTH(L50+95),Inputs!$D$4:$D$15,0),3),",",INDEX(Inputs!$C$4:$E$15,MATCH(MONTH(L50+190),Inputs!$D$4:$D$15,0),3),",",INDEX(Inputs!$C$4:$E$15,MATCH(MONTH(L50+275),Inputs!$D$4:$D$15,0),3)),IF(T50=3,CONCATENATE(INDEX(Inputs!$C$4:$E$15,MATCH('Loan Entry'!J50,Months,0),3),",",INDEX(Inputs!$C$4:$E$15,MATCH(MONTH(L50+95),Inputs!$D$4:$D$15,0),3),",",INDEX(Inputs!$C$4:$E$15,MATCH(MONTH(L50+190),Inputs!$D$4:$D$15,0),3)),IF(T50=2,CONCATENATE(INDEX(Inputs!$C$4:$E$15,MATCH('Loan Entry'!J50,Months,0),3),",",INDEX(Inputs!$C$4:$E$15,MATCH(MONTH(L50+95),Inputs!$D$4:$D$15,0),3)),INDEX(Inputs!$C$4:$G$15,MATCH('Loan Entry'!J50,Months,0),3)))),INDEX(Inputs!$C$4:$G$15,MATCH('Loan Entry'!N50,Months,0),5))))),"")</f>
        <v/>
      </c>
      <c r="AC50" s="844" t="str">
        <f>IF('Loan Entry'!$M50&gt;0,PMT((365/360)*'Loan Entry'!$E50/'Loan Entry'!$Q50,'Loan Entry'!$O50,'Loan Entry'!$F50*-1)*MIN('Loan Entry'!$Q50,O50),"")</f>
        <v/>
      </c>
      <c r="AD50" s="845" t="str">
        <f>IF(F50&gt;0,IF('Loan Entry'!$M50&lt;&gt;0,IF(U50=1,X50,IF(E50=0,U50*X50,X50)),'Loan Entry'!$AC50),"")</f>
        <v/>
      </c>
      <c r="AE50" s="849" t="str">
        <f>IF('Loan Entry'!$M50&gt;0,'Loan Entry'!$F50-'Loan Entry'!$AD50,"")</f>
        <v/>
      </c>
      <c r="AF50" s="595" t="str">
        <f>IF(AE50&gt;0,AC50,0)</f>
        <v/>
      </c>
      <c r="AG50" s="595"/>
      <c r="AH50" s="611" t="str">
        <f>IF(AE50&lt;&gt;0,IF(AE50&lt;AD50,AE50,IF(E50&gt;0,IF('Loan Entry'!$M50&lt;&gt;0,CUMPRINC(E50/Q50,(O50-T50),AE50,1,T50,0)*-1,),'Loan Entry'!$AC50)),0)</f>
        <v/>
      </c>
      <c r="AI50" s="611">
        <f>IF(M50&gt;0,AE50-AH50,0)</f>
        <v>0</v>
      </c>
    </row>
    <row r="51" spans="1:35" ht="24.95" customHeight="1" x14ac:dyDescent="0.2">
      <c r="A51" s="429" t="str">
        <f>IF('Loan Entry'!$M58&gt;0,DATE((G58+1),1,1),"")</f>
        <v/>
      </c>
      <c r="B51" s="1267" t="str">
        <f>CONCATENATE("Sub-Total ",B45)</f>
        <v>Sub-Total Business Building Loans</v>
      </c>
      <c r="C51" s="1267"/>
      <c r="D51" s="1267"/>
      <c r="E51" s="1267"/>
      <c r="F51" s="1267"/>
      <c r="G51" s="1267"/>
      <c r="H51" s="1267"/>
      <c r="I51" s="1267"/>
      <c r="J51" s="1267"/>
      <c r="K51" s="1267"/>
      <c r="L51" s="1267"/>
      <c r="M51" s="1267"/>
      <c r="N51" s="1267"/>
      <c r="O51" s="1267"/>
      <c r="P51" s="1267"/>
      <c r="Q51" s="1267"/>
      <c r="R51" s="1267"/>
      <c r="S51" s="1267"/>
      <c r="T51" s="1267"/>
      <c r="U51" s="1267"/>
      <c r="V51" s="1267"/>
      <c r="W51" s="1267"/>
      <c r="X51" s="1267"/>
      <c r="Y51" s="1267"/>
      <c r="Z51" s="1267"/>
      <c r="AA51" s="1267"/>
      <c r="AB51" s="1267"/>
      <c r="AC51" s="1267"/>
      <c r="AD51" s="260">
        <f>SUM('Loan Entry'!$AD$47:$AD$50)</f>
        <v>0</v>
      </c>
      <c r="AE51" s="260">
        <f>SUM('Loan Entry'!$AE$47:$AE$50)</f>
        <v>0</v>
      </c>
      <c r="AH51" s="611">
        <f>SUM(AH47:AH50)</f>
        <v>0</v>
      </c>
      <c r="AI51" s="611">
        <f>SUM(AI47:AI50)</f>
        <v>0</v>
      </c>
    </row>
    <row r="52" spans="1:35" s="93" customFormat="1" ht="24.95" customHeight="1" x14ac:dyDescent="0.2">
      <c r="A52" s="428"/>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596"/>
      <c r="AG52" s="610"/>
      <c r="AH52" s="613"/>
      <c r="AI52" s="613"/>
    </row>
    <row r="53" spans="1:35" ht="24.95" customHeight="1" x14ac:dyDescent="0.2">
      <c r="B53" s="1269" t="s">
        <v>32</v>
      </c>
      <c r="C53" s="1269"/>
      <c r="D53" s="1269"/>
      <c r="E53" s="1269"/>
      <c r="F53" s="1269"/>
      <c r="G53" s="1269"/>
      <c r="H53" s="1269"/>
      <c r="I53" s="1269"/>
      <c r="J53" s="1269"/>
      <c r="K53" s="1269"/>
      <c r="L53" s="1269"/>
      <c r="M53" s="1269"/>
      <c r="N53" s="1269"/>
      <c r="O53" s="1269"/>
      <c r="P53" s="1269"/>
      <c r="Q53" s="1269"/>
      <c r="R53" s="1269"/>
      <c r="S53" s="1269"/>
      <c r="T53" s="1269"/>
      <c r="U53" s="1269"/>
      <c r="V53" s="1269"/>
      <c r="W53" s="1269"/>
      <c r="X53" s="1269"/>
      <c r="Y53" s="1269"/>
      <c r="Z53" s="1269"/>
      <c r="AA53" s="1269"/>
      <c r="AB53" s="1269"/>
      <c r="AC53" s="1269"/>
      <c r="AD53" s="1269"/>
      <c r="AE53" s="1269"/>
      <c r="AH53" s="611"/>
      <c r="AI53" s="611"/>
    </row>
    <row r="54" spans="1:35" ht="24.95" customHeight="1" thickBot="1" x14ac:dyDescent="0.25">
      <c r="B54" s="451" t="s">
        <v>90</v>
      </c>
      <c r="C54" s="452" t="s">
        <v>91</v>
      </c>
      <c r="D54" s="448" t="s">
        <v>172</v>
      </c>
      <c r="E54" s="453" t="s">
        <v>92</v>
      </c>
      <c r="F54" s="449" t="s">
        <v>114</v>
      </c>
      <c r="G54" s="449" t="s">
        <v>96</v>
      </c>
      <c r="H54" s="449" t="s">
        <v>223</v>
      </c>
      <c r="I54" s="454" t="s">
        <v>103</v>
      </c>
      <c r="J54" s="454" t="s">
        <v>178</v>
      </c>
      <c r="K54" s="526" t="s">
        <v>225</v>
      </c>
      <c r="L54" s="526" t="s">
        <v>228</v>
      </c>
      <c r="M54" s="449" t="s">
        <v>97</v>
      </c>
      <c r="N54" s="527" t="s">
        <v>226</v>
      </c>
      <c r="O54" s="527" t="s">
        <v>227</v>
      </c>
      <c r="P54" s="527" t="s">
        <v>224</v>
      </c>
      <c r="Q54" s="527" t="s">
        <v>106</v>
      </c>
      <c r="R54" s="527" t="s">
        <v>181</v>
      </c>
      <c r="S54" s="527" t="s">
        <v>421</v>
      </c>
      <c r="T54" s="527" t="s">
        <v>195</v>
      </c>
      <c r="U54" s="527" t="s">
        <v>201</v>
      </c>
      <c r="V54" s="527" t="s">
        <v>179</v>
      </c>
      <c r="W54" s="527" t="s">
        <v>180</v>
      </c>
      <c r="X54" s="527" t="s">
        <v>193</v>
      </c>
      <c r="Y54" s="527" t="s">
        <v>194</v>
      </c>
      <c r="Z54" s="527" t="s">
        <v>418</v>
      </c>
      <c r="AA54" s="527" t="s">
        <v>417</v>
      </c>
      <c r="AB54" s="527" t="s">
        <v>105</v>
      </c>
      <c r="AC54" s="454" t="s">
        <v>93</v>
      </c>
      <c r="AD54" s="454" t="s">
        <v>94</v>
      </c>
      <c r="AE54" s="454" t="s">
        <v>95</v>
      </c>
      <c r="AH54" s="611"/>
      <c r="AI54" s="611"/>
    </row>
    <row r="55" spans="1:35" ht="24.95" customHeight="1" thickTop="1" x14ac:dyDescent="0.2">
      <c r="A55" s="427" t="str">
        <f>IF('Loan Entry'!$M55&gt;0,DATE((G55+1),1,1),"")</f>
        <v/>
      </c>
      <c r="B55" s="314"/>
      <c r="C55" s="315"/>
      <c r="D55" s="315"/>
      <c r="E55" s="857"/>
      <c r="F55" s="316"/>
      <c r="G55" s="317"/>
      <c r="H55" s="418" t="str">
        <f>IF(I55&gt;0,ROUNDDOWN(Year+I55,0),"")</f>
        <v/>
      </c>
      <c r="I55" s="317"/>
      <c r="J55" s="317"/>
      <c r="K55" s="418" t="e">
        <f>IF(H55&gt;0,IF(H55-Year=0,"yes","no"),"")</f>
        <v>#VALUE!</v>
      </c>
      <c r="L55" s="418" t="str">
        <f>IF('Loan Entry'!$J55&gt;0,DATE(G55,INDEX(Inputs!$C$4:$D$15,MATCH(J55,Months,0),2),1),"")</f>
        <v/>
      </c>
      <c r="M55" s="317"/>
      <c r="N55" s="418" t="str">
        <f>IF(M55&lt;&gt;0,IF(AND(K55="yes",M55="Monthly")=TRUE,CHOOSE(R55,"January","February","March","April","May","June","July","August","September","October","November","December"),RIGHT(AB55,3)),"")</f>
        <v/>
      </c>
      <c r="O55" s="418" t="str">
        <f>IF('Loan Entry'!$M55&gt;0,'Loan Entry'!$I55*'Loan Entry'!$Q55,"")</f>
        <v/>
      </c>
      <c r="P55" s="418" t="str">
        <f>IF(M55&gt;0,(H55-(G55-1))*IF(M55="Monthly",12,IF(M55="Quarterly",4,IF(M55="Semi-Annual",2,1))),"")</f>
        <v/>
      </c>
      <c r="Q55" s="418" t="str">
        <f>IF(M55&gt;0,IF(M55="Monthly",12,IF(M55="Quarterly",4,IF(M55="Semi-Annual",2,1))),"")</f>
        <v/>
      </c>
      <c r="R55" s="418" t="str">
        <f>IF(M55&gt;0,IF(I55&lt;1,IF(M55="Annual",1,(YEARFRAC(L55,A55,))*IF(M55="Monthly",O55,IF(M55="quarterly",O55*3,IF(M55="semi-annual",O55*2,12)))),IF(M55="Annual",1,(YEARFRAC(L55,A55,))*12)),"")</f>
        <v/>
      </c>
      <c r="S55" s="418">
        <f>IF(M55&gt;0,INDEX(Inputs!$J$26:$K$37,MATCH('Loan Entry'!N55,Inputs!$J$26:$J$37,0),2)/12,0)</f>
        <v>0</v>
      </c>
      <c r="T55" s="418" t="str">
        <f>IF(M55&lt;&gt;0,IF(R55&gt;12,12,ROUNDUP(IF(M55="Monthly",12*(R55/Q55),IF(M55="Quarterly",((R55/12)*Q55),IF(M55="Semi-Annual",IF(((R55/12)*Q55)&gt;1,2,1),1))),0)),"")</f>
        <v/>
      </c>
      <c r="U55" s="418" t="str">
        <f>IF(M55&gt;0,T55/Q55,"")</f>
        <v/>
      </c>
      <c r="V55" s="418" t="str">
        <f>IF('Loan Entry'!$M55&gt;0,IF(U55=1,X55/T55,(X55/T55)),"")</f>
        <v/>
      </c>
      <c r="W55" s="418" t="str">
        <f>IF('Loan Entry'!$M55&gt;0,IF(U55=1,Y55/T55,U55*(Y55/T55)),"")</f>
        <v/>
      </c>
      <c r="X55" s="418" t="str">
        <f>IF(E55&gt;0,IF('Loan Entry'!$M55&lt;&gt;0,CUMPRINC((365/360)*E55/Q55,O55,F55,1,T55,0)*-1,),'Loan Entry'!$AC55)</f>
        <v/>
      </c>
      <c r="Y55" s="418">
        <f>IF(E55&gt;0,IF('Loan Entry'!$M55&lt;&gt;0,CUMIPMT(((365/360)*E55)/Q55,O55,F55,1,T55,0)*-1,),0)</f>
        <v>0</v>
      </c>
      <c r="Z55" s="418">
        <f>IF(ISERROR(S55*IF(E55&gt;0,IF('Loan Entry'!$M55&lt;&gt;0,CUMIPMT(((365/360)*E55)/Q55,O55,F55,1,T55,0)*-1,),0))=FALSE,S55*IF(E55&gt;0,IF('Loan Entry'!$M55&lt;&gt;0,CUMIPMT(((365/360)*E55)/Q55,O55,F55,1,T55,0)*-1,),0),0)</f>
        <v>0</v>
      </c>
      <c r="AA55" s="418">
        <f>IF(ISERROR(S55*IF(E55&gt;0,IF('Loan Entry'!$M55&lt;&gt;0,CUMIPMT(((365/360)*E55)/Q55,O55-T55,F55,1+T55,T55+T55,0)*-1,),0))=FALSE,S55*IF(E55&gt;0,IF('Loan Entry'!$M55&lt;&gt;0,CUMIPMT(((365/360)*E55)/Q55,O55-T55,F55,1+T55,T55+T55,0)*-1,),0),0)</f>
        <v>0</v>
      </c>
      <c r="AB55" s="418" t="str">
        <f>IF(M55&lt;&gt;0,IF(K55="no",IF(M55="annual",INDEX(Inputs!$C$4:$E$15,MATCH('Loan Entry'!J55,Months,0),3),IF(M55="semi-annual",IF(T55=2,CONCATENATE(INDEX(Inputs!$C$4:$E$15,MATCH('Loan Entry'!J55,Months,0),3),",",INDEX(Inputs!$C$4:$E$15,MATCH(MONTH(L55+190),Inputs!$D$4:$D$15,0),3)),INDEX(Inputs!$C$4:$E$15,MATCH('Loan Entry'!J55,Months,0),3)),IF(M55="Quarterly",IF(T55=4,CONCATENATE(INDEX(Inputs!$C$4:$E$15,MATCH('Loan Entry'!J55,Months,0),3),",",INDEX(Inputs!$C$4:$E$15,MATCH(MONTH(L55+95),Inputs!$D$4:$D$15,0),3),",",INDEX(Inputs!$C$4:$E$15,MATCH(MONTH(L55+190),Inputs!$D$4:$D$15,0),3),",",INDEX(Inputs!$C$4:$E$15,MATCH(MONTH(L55+275),Inputs!$D$4:$D$15,0),3)),IF(T55=3,CONCATENATE(INDEX(Inputs!$C$4:$E$15,MATCH('Loan Entry'!J55,Months,0),3),",",INDEX(Inputs!$C$4:$E$15,MATCH(MONTH(L55+95),Inputs!$D$4:$D$15,0),3),",",INDEX(Inputs!$C$4:$E$15,MATCH(MONTH(L55+190),Inputs!$D$4:$D$15,0),3)),IF(T55=2,CONCATENATE(INDEX(Inputs!$C$4:$E$15,MATCH('Loan Entry'!J55,Months,0),3),",",INDEX(Inputs!$C$4:$E$15,MATCH(MONTH(L55+95),Inputs!$D$4:$D$15,0),3)),INDEX(Inputs!$C$4:$E$15,MATCH('Loan Entry'!J55,Months,0),3)))),INDEX(Inputs!$C$4:$F$15,MATCH('Loan Entry'!J55,Months,0),4)))),IF(M55="annual",INDEX(Inputs!$C$4:$E$15,MATCH('Loan Entry'!J55,Months,0),3),IF(M55="semi-annual",IF(T55=2,CONCATENATE(INDEX(Inputs!$C$4:$E$15,MATCH('Loan Entry'!J55,Months,0),3),",",INDEX(Inputs!$C$4:$E$15,MATCH(MONTH(L55+190),Inputs!$D$4:$D$15,0),3)),INDEX(Inputs!$C$4:$E$15,MATCH('Loan Entry'!J55,Months,0),3)),IF(M55="Quarterly",IF(T55=4,CONCATENATE(INDEX(Inputs!$C$4:$E$15,MATCH('Loan Entry'!J55,Months,0),3),",",INDEX(Inputs!$C$4:$E$15,MATCH(MONTH(L55+95),Inputs!$D$4:$D$15,0),3),",",INDEX(Inputs!$C$4:$E$15,MATCH(MONTH(L55+190),Inputs!$D$4:$D$15,0),3),",",INDEX(Inputs!$C$4:$E$15,MATCH(MONTH(L55+275),Inputs!$D$4:$D$15,0),3)),IF(T55=3,CONCATENATE(INDEX(Inputs!$C$4:$E$15,MATCH('Loan Entry'!J55,Months,0),3),",",INDEX(Inputs!$C$4:$E$15,MATCH(MONTH(L55+95),Inputs!$D$4:$D$15,0),3),",",INDEX(Inputs!$C$4:$E$15,MATCH(MONTH(L55+190),Inputs!$D$4:$D$15,0),3)),IF(T55=2,CONCATENATE(INDEX(Inputs!$C$4:$E$15,MATCH('Loan Entry'!J55,Months,0),3),",",INDEX(Inputs!$C$4:$E$15,MATCH(MONTH(L55+95),Inputs!$D$4:$D$15,0),3)),INDEX(Inputs!$C$4:$G$15,MATCH('Loan Entry'!J55,Months,0),3)))),INDEX(Inputs!$C$4:$G$15,MATCH('Loan Entry'!N55,Months,0),5))))),"")</f>
        <v/>
      </c>
      <c r="AC55" s="842" t="str">
        <f>IF('Loan Entry'!$M55&gt;0,PMT((365/360)*'Loan Entry'!$E55/'Loan Entry'!$Q55,'Loan Entry'!$O55,'Loan Entry'!$F55*-1)*MIN('Loan Entry'!$Q55,O55),"")</f>
        <v/>
      </c>
      <c r="AD55" s="843" t="str">
        <f>IF(F55&gt;0,IF('Loan Entry'!$M55&lt;&gt;0,IF(U55=1,X55,IF(E55=0,U55*X55,X55)),'Loan Entry'!$AC55),"")</f>
        <v/>
      </c>
      <c r="AE55" s="848" t="str">
        <f>IF('Loan Entry'!$M55&gt;0,'Loan Entry'!$F55-'Loan Entry'!$AD55,"")</f>
        <v/>
      </c>
      <c r="AF55" s="595" t="str">
        <f>IF(AE55&gt;0,AC55,0)</f>
        <v/>
      </c>
      <c r="AG55" s="595"/>
      <c r="AH55" s="611" t="str">
        <f>IF(AE55&lt;&gt;0,IF(AE55&lt;AD55,AE55,IF(E55&gt;0,IF('Loan Entry'!$M55&lt;&gt;0,CUMPRINC(E55/Q55,(O55-T55),AE55,1,T55,0)*-1,),'Loan Entry'!$AC55)),0)</f>
        <v/>
      </c>
      <c r="AI55" s="611">
        <f>IF(M55&gt;0,AE55-AH55,0)</f>
        <v>0</v>
      </c>
    </row>
    <row r="56" spans="1:35" ht="24.95" customHeight="1" x14ac:dyDescent="0.2">
      <c r="A56" s="429" t="str">
        <f>IF('Loan Entry'!$M56&gt;0,DATE((G56+1),1,1),"")</f>
        <v/>
      </c>
      <c r="B56" s="318"/>
      <c r="C56" s="319"/>
      <c r="D56" s="319"/>
      <c r="E56" s="858"/>
      <c r="F56" s="320"/>
      <c r="G56" s="321"/>
      <c r="H56" s="419" t="str">
        <f>IF(I56&gt;0,ROUNDDOWN(Year+I56,0),"")</f>
        <v/>
      </c>
      <c r="I56" s="321"/>
      <c r="J56" s="321"/>
      <c r="K56" s="419" t="e">
        <f>IF(H56&gt;0,IF(H56-Year=0,"yes","no"),"")</f>
        <v>#VALUE!</v>
      </c>
      <c r="L56" s="419" t="str">
        <f>IF('Loan Entry'!$J56&gt;0,DATE(G56,INDEX(Inputs!$C$4:$D$15,MATCH(J56,Months,0),2),1),"")</f>
        <v/>
      </c>
      <c r="M56" s="321"/>
      <c r="N56" s="419" t="str">
        <f>IF(M56&lt;&gt;0,IF(AND(K56="yes",M56="Monthly")=TRUE,CHOOSE(R56,"January","February","March","April","May","June","July","August","September","October","November","December"),RIGHT(AB56,3)),"")</f>
        <v/>
      </c>
      <c r="O56" s="537" t="str">
        <f>IF('Loan Entry'!$M56&gt;0,'Loan Entry'!$I56*'Loan Entry'!$Q56,"")</f>
        <v/>
      </c>
      <c r="P56" s="537" t="str">
        <f>IF(M56&gt;0,(H56-(G56-1))*IF(M56="Monthly",12,IF(M56="Quarterly",4,IF(M56="Semi-Annual",2,1))),"")</f>
        <v/>
      </c>
      <c r="Q56" s="537" t="str">
        <f>IF(M56&gt;0,IF(M56="Monthly",12,IF(M56="Quarterly",4,IF(M56="Semi-Annual",2,1))),"")</f>
        <v/>
      </c>
      <c r="R56" s="537" t="str">
        <f>IF(M56&gt;0,IF(I56&lt;1,IF(M56="Annual",1,(YEARFRAC(L56,A56,))*IF(M56="Monthly",O56,IF(M56="quarterly",O56*3,IF(M56="semi-annual",O56*2,12)))),IF(M56="Annual",1,(YEARFRAC(L56,A56,))*12)),"")</f>
        <v/>
      </c>
      <c r="S56" s="537">
        <f>IF(M56&gt;0,INDEX(Inputs!$J$26:$K$37,MATCH('Loan Entry'!N56,Inputs!$J$26:$J$37,0),2)/12,0)</f>
        <v>0</v>
      </c>
      <c r="T56" s="537" t="str">
        <f>IF(M56&lt;&gt;0,IF(R56&gt;12,12,ROUNDUP(IF(M56="Monthly",12*(R56/Q56),IF(M56="Quarterly",((R56/12)*Q56),IF(M56="Semi-Annual",IF(((R56/12)*Q56)&gt;1,2,1),1))),0)),"")</f>
        <v/>
      </c>
      <c r="U56" s="537" t="str">
        <f>IF(M56&gt;0,T56/Q56,"")</f>
        <v/>
      </c>
      <c r="V56" s="537" t="str">
        <f>IF('Loan Entry'!$M56&gt;0,IF(U56=1,X56/T56,(X56/T56)),"")</f>
        <v/>
      </c>
      <c r="W56" s="537" t="str">
        <f>IF('Loan Entry'!$M56&gt;0,IF(U56=1,Y56/T56,U56*(Y56/T56)),"")</f>
        <v/>
      </c>
      <c r="X56" s="537" t="str">
        <f>IF(E56&gt;0,IF('Loan Entry'!$M56&lt;&gt;0,CUMPRINC((365/360)*E56/Q56,O56,F56,1,T56,0)*-1,),'Loan Entry'!$AC56)</f>
        <v/>
      </c>
      <c r="Y56" s="537">
        <f>IF(E56&gt;0,IF('Loan Entry'!$M56&lt;&gt;0,CUMIPMT(((365/360)*E56)/Q56,O56,F56,1,T56,0)*-1,),0)</f>
        <v>0</v>
      </c>
      <c r="Z56" s="537">
        <f>IF(ISERROR(S56*IF(E56&gt;0,IF('Loan Entry'!$M56&lt;&gt;0,CUMIPMT(((365/360)*E56)/Q56,O56,F56,1,T56,0)*-1,),0))=FALSE,S56*IF(E56&gt;0,IF('Loan Entry'!$M56&lt;&gt;0,CUMIPMT(((365/360)*E56)/Q56,O56,F56,1,T56,0)*-1,),0),0)</f>
        <v>0</v>
      </c>
      <c r="AA56" s="537">
        <f>IF(ISERROR(S56*IF(E56&gt;0,IF('Loan Entry'!$M56&lt;&gt;0,CUMIPMT(((365/360)*E56)/Q56,O56-T56,F56,1+T56,T56+T56,0)*-1,),0))=FALSE,S56*IF(E56&gt;0,IF('Loan Entry'!$M56&lt;&gt;0,CUMIPMT(((365/360)*E56)/Q56,O56-T56,F56,1+T56,T56+T56,0)*-1,),0),0)</f>
        <v>0</v>
      </c>
      <c r="AB56" s="537" t="str">
        <f>IF(M56&lt;&gt;0,IF(K56="no",IF(M56="annual",INDEX(Inputs!$C$4:$E$15,MATCH('Loan Entry'!J56,Months,0),3),IF(M56="semi-annual",IF(T56=2,CONCATENATE(INDEX(Inputs!$C$4:$E$15,MATCH('Loan Entry'!J56,Months,0),3),",",INDEX(Inputs!$C$4:$E$15,MATCH(MONTH(L56+190),Inputs!$D$4:$D$15,0),3)),INDEX(Inputs!$C$4:$E$15,MATCH('Loan Entry'!J56,Months,0),3)),IF(M56="Quarterly",IF(T56=4,CONCATENATE(INDEX(Inputs!$C$4:$E$15,MATCH('Loan Entry'!J56,Months,0),3),",",INDEX(Inputs!$C$4:$E$15,MATCH(MONTH(L56+95),Inputs!$D$4:$D$15,0),3),",",INDEX(Inputs!$C$4:$E$15,MATCH(MONTH(L56+190),Inputs!$D$4:$D$15,0),3),",",INDEX(Inputs!$C$4:$E$15,MATCH(MONTH(L56+275),Inputs!$D$4:$D$15,0),3)),IF(T56=3,CONCATENATE(INDEX(Inputs!$C$4:$E$15,MATCH('Loan Entry'!J56,Months,0),3),",",INDEX(Inputs!$C$4:$E$15,MATCH(MONTH(L56+95),Inputs!$D$4:$D$15,0),3),",",INDEX(Inputs!$C$4:$E$15,MATCH(MONTH(L56+190),Inputs!$D$4:$D$15,0),3)),IF(T56=2,CONCATENATE(INDEX(Inputs!$C$4:$E$15,MATCH('Loan Entry'!J56,Months,0),3),",",INDEX(Inputs!$C$4:$E$15,MATCH(MONTH(L56+95),Inputs!$D$4:$D$15,0),3)),INDEX(Inputs!$C$4:$E$15,MATCH('Loan Entry'!J56,Months,0),3)))),INDEX(Inputs!$C$4:$F$15,MATCH('Loan Entry'!J56,Months,0),4)))),IF(M56="annual",INDEX(Inputs!$C$4:$E$15,MATCH('Loan Entry'!J56,Months,0),3),IF(M56="semi-annual",IF(T56=2,CONCATENATE(INDEX(Inputs!$C$4:$E$15,MATCH('Loan Entry'!J56,Months,0),3),",",INDEX(Inputs!$C$4:$E$15,MATCH(MONTH(L56+190),Inputs!$D$4:$D$15,0),3)),INDEX(Inputs!$C$4:$E$15,MATCH('Loan Entry'!J56,Months,0),3)),IF(M56="Quarterly",IF(T56=4,CONCATENATE(INDEX(Inputs!$C$4:$E$15,MATCH('Loan Entry'!J56,Months,0),3),",",INDEX(Inputs!$C$4:$E$15,MATCH(MONTH(L56+95),Inputs!$D$4:$D$15,0),3),",",INDEX(Inputs!$C$4:$E$15,MATCH(MONTH(L56+190),Inputs!$D$4:$D$15,0),3),",",INDEX(Inputs!$C$4:$E$15,MATCH(MONTH(L56+275),Inputs!$D$4:$D$15,0),3)),IF(T56=3,CONCATENATE(INDEX(Inputs!$C$4:$E$15,MATCH('Loan Entry'!J56,Months,0),3),",",INDEX(Inputs!$C$4:$E$15,MATCH(MONTH(L56+95),Inputs!$D$4:$D$15,0),3),",",INDEX(Inputs!$C$4:$E$15,MATCH(MONTH(L56+190),Inputs!$D$4:$D$15,0),3)),IF(T56=2,CONCATENATE(INDEX(Inputs!$C$4:$E$15,MATCH('Loan Entry'!J56,Months,0),3),",",INDEX(Inputs!$C$4:$E$15,MATCH(MONTH(L56+95),Inputs!$D$4:$D$15,0),3)),INDEX(Inputs!$C$4:$G$15,MATCH('Loan Entry'!J56,Months,0),3)))),INDEX(Inputs!$C$4:$G$15,MATCH('Loan Entry'!N56,Months,0),5))))),"")</f>
        <v/>
      </c>
      <c r="AC56" s="844" t="str">
        <f>IF('Loan Entry'!$M56&gt;0,PMT((365/360)*'Loan Entry'!$E56/'Loan Entry'!$Q56,'Loan Entry'!$O56,'Loan Entry'!$F56*-1)*MIN('Loan Entry'!$Q56,O56),"")</f>
        <v/>
      </c>
      <c r="AD56" s="845" t="str">
        <f>IF(F56&gt;0,IF('Loan Entry'!$M56&lt;&gt;0,IF(U56=1,X56,IF(E56=0,U56*X56,X56)),'Loan Entry'!$AC56),"")</f>
        <v/>
      </c>
      <c r="AE56" s="849" t="str">
        <f>IF('Loan Entry'!$M56&gt;0,'Loan Entry'!$F56-'Loan Entry'!$AD56,"")</f>
        <v/>
      </c>
      <c r="AF56" s="595" t="str">
        <f>IF(AE56&gt;0,AC56,0)</f>
        <v/>
      </c>
      <c r="AG56" s="595"/>
      <c r="AH56" s="611" t="str">
        <f>IF(AE56&lt;&gt;0,IF(AE56&lt;AD56,AE56,IF(E56&gt;0,IF('Loan Entry'!$M56&lt;&gt;0,CUMPRINC(E56/Q56,(O56-T56),AE56,1,T56,0)*-1,),'Loan Entry'!$AC56)),0)</f>
        <v/>
      </c>
      <c r="AI56" s="611">
        <f>IF(M56&gt;0,AE56-AH56,0)</f>
        <v>0</v>
      </c>
    </row>
    <row r="57" spans="1:35" ht="24.95" customHeight="1" x14ac:dyDescent="0.2">
      <c r="A57" s="429" t="str">
        <f>IF('Loan Entry'!$M57&gt;0,DATE((G57+1),1,1),"")</f>
        <v/>
      </c>
      <c r="B57" s="322"/>
      <c r="C57" s="323"/>
      <c r="D57" s="323"/>
      <c r="E57" s="859"/>
      <c r="F57" s="324"/>
      <c r="G57" s="325"/>
      <c r="H57" s="420" t="str">
        <f>IF(I57&gt;0,ROUNDDOWN(Year+I57,0),"")</f>
        <v/>
      </c>
      <c r="I57" s="325"/>
      <c r="J57" s="325"/>
      <c r="K57" s="420" t="e">
        <f>IF(H57&gt;0,IF(H57-Year=0,"yes","no"),"")</f>
        <v>#VALUE!</v>
      </c>
      <c r="L57" s="420" t="str">
        <f>IF('Loan Entry'!$J57&gt;0,DATE(G57,INDEX(Inputs!$C$4:$D$15,MATCH(J57,Months,0),2),1),"")</f>
        <v/>
      </c>
      <c r="M57" s="325"/>
      <c r="N57" s="420" t="str">
        <f>IF(M57&lt;&gt;0,IF(AND(K57="yes",M57="Monthly")=TRUE,CHOOSE(R57,"January","February","March","April","May","June","July","August","September","October","November","December"),RIGHT(AB57,3)),"")</f>
        <v/>
      </c>
      <c r="O57" s="539" t="str">
        <f>IF('Loan Entry'!$M57&gt;0,'Loan Entry'!$I57*'Loan Entry'!$Q57,"")</f>
        <v/>
      </c>
      <c r="P57" s="539" t="str">
        <f>IF(M57&gt;0,(H57-(G57-1))*IF(M57="Monthly",12,IF(M57="Quarterly",4,IF(M57="Semi-Annual",2,1))),"")</f>
        <v/>
      </c>
      <c r="Q57" s="539" t="str">
        <f>IF(M57&gt;0,IF(M57="Monthly",12,IF(M57="Quarterly",4,IF(M57="Semi-Annual",2,1))),"")</f>
        <v/>
      </c>
      <c r="R57" s="539" t="str">
        <f>IF(M57&gt;0,IF(I57&lt;1,IF(M57="Annual",1,(YEARFRAC(L57,A57,))*IF(M57="Monthly",O57,IF(M57="quarterly",O57*3,IF(M57="semi-annual",O57*2,12)))),IF(M57="Annual",1,(YEARFRAC(L57,A57,))*12)),"")</f>
        <v/>
      </c>
      <c r="S57" s="539">
        <f>IF(M57&gt;0,INDEX(Inputs!$J$26:$K$37,MATCH('Loan Entry'!N57,Inputs!$J$26:$J$37,0),2)/12,0)</f>
        <v>0</v>
      </c>
      <c r="T57" s="539" t="str">
        <f>IF(M57&lt;&gt;0,IF(R57&gt;12,12,ROUNDUP(IF(M57="Monthly",12*(R57/Q57),IF(M57="Quarterly",((R57/12)*Q57),IF(M57="Semi-Annual",IF(((R57/12)*Q57)&gt;1,2,1),1))),0)),"")</f>
        <v/>
      </c>
      <c r="U57" s="539" t="str">
        <f>IF(M57&gt;0,T57/Q57,"")</f>
        <v/>
      </c>
      <c r="V57" s="539" t="str">
        <f>IF('Loan Entry'!$M57&gt;0,IF(U57=1,X57/T57,(X57/T57)),"")</f>
        <v/>
      </c>
      <c r="W57" s="539" t="str">
        <f>IF('Loan Entry'!$M57&gt;0,IF(U57=1,Y57/T57,U57*(Y57/T57)),"")</f>
        <v/>
      </c>
      <c r="X57" s="539" t="str">
        <f>IF(E57&gt;0,IF('Loan Entry'!$M57&lt;&gt;0,CUMPRINC((365/360)*E57/Q57,O57,F57,1,T57,0)*-1,),'Loan Entry'!$AC57)</f>
        <v/>
      </c>
      <c r="Y57" s="539">
        <f>IF(E57&gt;0,IF('Loan Entry'!$M57&lt;&gt;0,CUMIPMT(((365/360)*E57)/Q57,O57,F57,1,T57,0)*-1,),0)</f>
        <v>0</v>
      </c>
      <c r="Z57" s="539">
        <f>IF(ISERROR(S57*IF(E57&gt;0,IF('Loan Entry'!$M57&lt;&gt;0,CUMIPMT(((365/360)*E57)/Q57,O57,F57,1,T57,0)*-1,),0))=FALSE,S57*IF(E57&gt;0,IF('Loan Entry'!$M57&lt;&gt;0,CUMIPMT(((365/360)*E57)/Q57,O57,F57,1,T57,0)*-1,),0),0)</f>
        <v>0</v>
      </c>
      <c r="AA57" s="539">
        <f>IF(ISERROR(S57*IF(E57&gt;0,IF('Loan Entry'!$M57&lt;&gt;0,CUMIPMT(((365/360)*E57)/Q57,O57-T57,F57,1+T57,T57+T57,0)*-1,),0))=FALSE,S57*IF(E57&gt;0,IF('Loan Entry'!$M57&lt;&gt;0,CUMIPMT(((365/360)*E57)/Q57,O57-T57,F57,1+T57,T57+T57,0)*-1,),0),0)</f>
        <v>0</v>
      </c>
      <c r="AB57" s="539" t="str">
        <f>IF(M57&lt;&gt;0,IF(K57="no",IF(M57="annual",INDEX(Inputs!$C$4:$E$15,MATCH('Loan Entry'!J57,Months,0),3),IF(M57="semi-annual",IF(T57=2,CONCATENATE(INDEX(Inputs!$C$4:$E$15,MATCH('Loan Entry'!J57,Months,0),3),",",INDEX(Inputs!$C$4:$E$15,MATCH(MONTH(L57+190),Inputs!$D$4:$D$15,0),3)),INDEX(Inputs!$C$4:$E$15,MATCH('Loan Entry'!J57,Months,0),3)),IF(M57="Quarterly",IF(T57=4,CONCATENATE(INDEX(Inputs!$C$4:$E$15,MATCH('Loan Entry'!J57,Months,0),3),",",INDEX(Inputs!$C$4:$E$15,MATCH(MONTH(L57+95),Inputs!$D$4:$D$15,0),3),",",INDEX(Inputs!$C$4:$E$15,MATCH(MONTH(L57+190),Inputs!$D$4:$D$15,0),3),",",INDEX(Inputs!$C$4:$E$15,MATCH(MONTH(L57+275),Inputs!$D$4:$D$15,0),3)),IF(T57=3,CONCATENATE(INDEX(Inputs!$C$4:$E$15,MATCH('Loan Entry'!J57,Months,0),3),",",INDEX(Inputs!$C$4:$E$15,MATCH(MONTH(L57+95),Inputs!$D$4:$D$15,0),3),",",INDEX(Inputs!$C$4:$E$15,MATCH(MONTH(L57+190),Inputs!$D$4:$D$15,0),3)),IF(T57=2,CONCATENATE(INDEX(Inputs!$C$4:$E$15,MATCH('Loan Entry'!J57,Months,0),3),",",INDEX(Inputs!$C$4:$E$15,MATCH(MONTH(L57+95),Inputs!$D$4:$D$15,0),3)),INDEX(Inputs!$C$4:$E$15,MATCH('Loan Entry'!J57,Months,0),3)))),INDEX(Inputs!$C$4:$F$15,MATCH('Loan Entry'!J57,Months,0),4)))),IF(M57="annual",INDEX(Inputs!$C$4:$E$15,MATCH('Loan Entry'!J57,Months,0),3),IF(M57="semi-annual",IF(T57=2,CONCATENATE(INDEX(Inputs!$C$4:$E$15,MATCH('Loan Entry'!J57,Months,0),3),",",INDEX(Inputs!$C$4:$E$15,MATCH(MONTH(L57+190),Inputs!$D$4:$D$15,0),3)),INDEX(Inputs!$C$4:$E$15,MATCH('Loan Entry'!J57,Months,0),3)),IF(M57="Quarterly",IF(T57=4,CONCATENATE(INDEX(Inputs!$C$4:$E$15,MATCH('Loan Entry'!J57,Months,0),3),",",INDEX(Inputs!$C$4:$E$15,MATCH(MONTH(L57+95),Inputs!$D$4:$D$15,0),3),",",INDEX(Inputs!$C$4:$E$15,MATCH(MONTH(L57+190),Inputs!$D$4:$D$15,0),3),",",INDEX(Inputs!$C$4:$E$15,MATCH(MONTH(L57+275),Inputs!$D$4:$D$15,0),3)),IF(T57=3,CONCATENATE(INDEX(Inputs!$C$4:$E$15,MATCH('Loan Entry'!J57,Months,0),3),",",INDEX(Inputs!$C$4:$E$15,MATCH(MONTH(L57+95),Inputs!$D$4:$D$15,0),3),",",INDEX(Inputs!$C$4:$E$15,MATCH(MONTH(L57+190),Inputs!$D$4:$D$15,0),3)),IF(T57=2,CONCATENATE(INDEX(Inputs!$C$4:$E$15,MATCH('Loan Entry'!J57,Months,0),3),",",INDEX(Inputs!$C$4:$E$15,MATCH(MONTH(L57+95),Inputs!$D$4:$D$15,0),3)),INDEX(Inputs!$C$4:$G$15,MATCH('Loan Entry'!J57,Months,0),3)))),INDEX(Inputs!$C$4:$G$15,MATCH('Loan Entry'!N57,Months,0),5))))),"")</f>
        <v/>
      </c>
      <c r="AC57" s="846" t="str">
        <f>IF('Loan Entry'!$M57&gt;0,PMT((365/360)*'Loan Entry'!$E57/'Loan Entry'!$Q57,'Loan Entry'!$O57,'Loan Entry'!$F57*-1)*MIN('Loan Entry'!$Q57,O57),"")</f>
        <v/>
      </c>
      <c r="AD57" s="847" t="str">
        <f>IF(F57&gt;0,IF('Loan Entry'!$M57&lt;&gt;0,IF(U57=1,X57,IF(E57=0,U57*X57,X57)),'Loan Entry'!$AC57),"")</f>
        <v/>
      </c>
      <c r="AE57" s="850" t="str">
        <f>IF('Loan Entry'!$M57&gt;0,'Loan Entry'!$F57-'Loan Entry'!$AD57,"")</f>
        <v/>
      </c>
      <c r="AF57" s="595" t="str">
        <f>IF(AE57&gt;0,AC57,0)</f>
        <v/>
      </c>
      <c r="AG57" s="595"/>
      <c r="AH57" s="611" t="str">
        <f>IF(AE57&lt;&gt;0,IF(AE57&lt;AD57,AE57,IF(E57&gt;0,IF('Loan Entry'!$M57&lt;&gt;0,CUMPRINC(E57/Q57,(O57-T57),AE57,1,T57,0)*-1,),'Loan Entry'!$AC57)),0)</f>
        <v/>
      </c>
      <c r="AI57" s="611">
        <f>IF(M57&gt;0,AE57-AH57,0)</f>
        <v>0</v>
      </c>
    </row>
    <row r="58" spans="1:35" ht="24.95" customHeight="1" x14ac:dyDescent="0.2">
      <c r="A58" s="429" t="str">
        <f>IF('Loan Entry'!$M58&gt;0,DATE((G58+1),1,1),"")</f>
        <v/>
      </c>
      <c r="B58" s="318"/>
      <c r="C58" s="319"/>
      <c r="D58" s="319"/>
      <c r="E58" s="858"/>
      <c r="F58" s="320"/>
      <c r="G58" s="321"/>
      <c r="H58" s="419" t="str">
        <f>IF(I58&gt;0,ROUNDDOWN(Year+I58,0),"")</f>
        <v/>
      </c>
      <c r="I58" s="321"/>
      <c r="J58" s="321"/>
      <c r="K58" s="419" t="e">
        <f>IF(H58&gt;0,IF(H58-Year=0,"yes","no"),"")</f>
        <v>#VALUE!</v>
      </c>
      <c r="L58" s="419" t="str">
        <f>IF('Loan Entry'!$J58&gt;0,DATE(G58,INDEX(Inputs!$C$4:$D$15,MATCH(J58,Months,0),2),1),"")</f>
        <v/>
      </c>
      <c r="M58" s="321"/>
      <c r="N58" s="419" t="str">
        <f>IF(M58&lt;&gt;0,IF(AND(K58="yes",M58="Monthly")=TRUE,CHOOSE(R58,"January","February","March","April","May","June","July","August","September","October","November","December"),RIGHT(AB58,3)),"")</f>
        <v/>
      </c>
      <c r="O58" s="537" t="str">
        <f>IF('Loan Entry'!$M58&gt;0,'Loan Entry'!$I58*'Loan Entry'!$Q58,"")</f>
        <v/>
      </c>
      <c r="P58" s="537" t="str">
        <f>IF(M58&gt;0,(H58-(G58-1))*IF(M58="Monthly",12,IF(M58="Quarterly",4,IF(M58="Semi-Annual",2,1))),"")</f>
        <v/>
      </c>
      <c r="Q58" s="537" t="str">
        <f>IF(M58&gt;0,IF(M58="Monthly",12,IF(M58="Quarterly",4,IF(M58="Semi-Annual",2,1))),"")</f>
        <v/>
      </c>
      <c r="R58" s="537" t="str">
        <f>IF(M58&gt;0,IF(I58&lt;1,IF(M58="Annual",1,(YEARFRAC(L58,A58,))*IF(M58="Monthly",O58,IF(M58="quarterly",O58*3,IF(M58="semi-annual",O58*2,12)))),IF(M58="Annual",1,(YEARFRAC(L58,A58,))*12)),"")</f>
        <v/>
      </c>
      <c r="S58" s="537">
        <f>IF(M58&gt;0,INDEX(Inputs!$J$26:$K$37,MATCH('Loan Entry'!N58,Inputs!$J$26:$J$37,0),2)/12,0)</f>
        <v>0</v>
      </c>
      <c r="T58" s="537" t="str">
        <f>IF(M58&lt;&gt;0,IF(R58&gt;12,12,ROUNDUP(IF(M58="Monthly",12*(R58/Q58),IF(M58="Quarterly",((R58/12)*Q58),IF(M58="Semi-Annual",IF(((R58/12)*Q58)&gt;1,2,1),1))),0)),"")</f>
        <v/>
      </c>
      <c r="U58" s="537" t="str">
        <f>IF(M58&gt;0,T58/Q58,"")</f>
        <v/>
      </c>
      <c r="V58" s="537" t="str">
        <f>IF('Loan Entry'!$M58&gt;0,IF(U58=1,X58/T58,(X58/T58)),"")</f>
        <v/>
      </c>
      <c r="W58" s="537" t="str">
        <f>IF('Loan Entry'!$M58&gt;0,IF(U58=1,Y58/T58,U58*(Y58/T58)),"")</f>
        <v/>
      </c>
      <c r="X58" s="537" t="str">
        <f>IF(E58&gt;0,IF('Loan Entry'!$M58&lt;&gt;0,CUMPRINC((365/360)*E58/Q58,O58,F58,1,T58,0)*-1,),'Loan Entry'!$AC58)</f>
        <v/>
      </c>
      <c r="Y58" s="537">
        <f>IF(E58&gt;0,IF('Loan Entry'!$M58&lt;&gt;0,CUMIPMT(((365/360)*E58)/Q58,O58,F58,1,T58,0)*-1,),0)</f>
        <v>0</v>
      </c>
      <c r="Z58" s="537">
        <f>IF(ISERROR(S58*IF(E58&gt;0,IF('Loan Entry'!$M58&lt;&gt;0,CUMIPMT(((365/360)*E58)/Q58,O58,F58,1,T58,0)*-1,),0))=FALSE,S58*IF(E58&gt;0,IF('Loan Entry'!$M58&lt;&gt;0,CUMIPMT(((365/360)*E58)/Q58,O58,F58,1,T58,0)*-1,),0),0)</f>
        <v>0</v>
      </c>
      <c r="AA58" s="537">
        <f>IF(ISERROR(S58*IF(E58&gt;0,IF('Loan Entry'!$M58&lt;&gt;0,CUMIPMT(((365/360)*E58)/Q58,O58-T58,F58,1+T58,T58+T58,0)*-1,),0))=FALSE,S58*IF(E58&gt;0,IF('Loan Entry'!$M58&lt;&gt;0,CUMIPMT(((365/360)*E58)/Q58,O58-T58,F58,1+T58,T58+T58,0)*-1,),0),0)</f>
        <v>0</v>
      </c>
      <c r="AB58" s="537" t="str">
        <f>IF(M58&lt;&gt;0,IF(K58="no",IF(M58="annual",INDEX(Inputs!$C$4:$E$15,MATCH('Loan Entry'!J58,Months,0),3),IF(M58="semi-annual",IF(T58=2,CONCATENATE(INDEX(Inputs!$C$4:$E$15,MATCH('Loan Entry'!J58,Months,0),3),",",INDEX(Inputs!$C$4:$E$15,MATCH(MONTH(L58+190),Inputs!$D$4:$D$15,0),3)),INDEX(Inputs!$C$4:$E$15,MATCH('Loan Entry'!J58,Months,0),3)),IF(M58="Quarterly",IF(T58=4,CONCATENATE(INDEX(Inputs!$C$4:$E$15,MATCH('Loan Entry'!J58,Months,0),3),",",INDEX(Inputs!$C$4:$E$15,MATCH(MONTH(L58+95),Inputs!$D$4:$D$15,0),3),",",INDEX(Inputs!$C$4:$E$15,MATCH(MONTH(L58+190),Inputs!$D$4:$D$15,0),3),",",INDEX(Inputs!$C$4:$E$15,MATCH(MONTH(L58+275),Inputs!$D$4:$D$15,0),3)),IF(T58=3,CONCATENATE(INDEX(Inputs!$C$4:$E$15,MATCH('Loan Entry'!J58,Months,0),3),",",INDEX(Inputs!$C$4:$E$15,MATCH(MONTH(L58+95),Inputs!$D$4:$D$15,0),3),",",INDEX(Inputs!$C$4:$E$15,MATCH(MONTH(L58+190),Inputs!$D$4:$D$15,0),3)),IF(T58=2,CONCATENATE(INDEX(Inputs!$C$4:$E$15,MATCH('Loan Entry'!J58,Months,0),3),",",INDEX(Inputs!$C$4:$E$15,MATCH(MONTH(L58+95),Inputs!$D$4:$D$15,0),3)),INDEX(Inputs!$C$4:$E$15,MATCH('Loan Entry'!J58,Months,0),3)))),INDEX(Inputs!$C$4:$F$15,MATCH('Loan Entry'!J58,Months,0),4)))),IF(M58="annual",INDEX(Inputs!$C$4:$E$15,MATCH('Loan Entry'!J58,Months,0),3),IF(M58="semi-annual",IF(T58=2,CONCATENATE(INDEX(Inputs!$C$4:$E$15,MATCH('Loan Entry'!J58,Months,0),3),",",INDEX(Inputs!$C$4:$E$15,MATCH(MONTH(L58+190),Inputs!$D$4:$D$15,0),3)),INDEX(Inputs!$C$4:$E$15,MATCH('Loan Entry'!J58,Months,0),3)),IF(M58="Quarterly",IF(T58=4,CONCATENATE(INDEX(Inputs!$C$4:$E$15,MATCH('Loan Entry'!J58,Months,0),3),",",INDEX(Inputs!$C$4:$E$15,MATCH(MONTH(L58+95),Inputs!$D$4:$D$15,0),3),",",INDEX(Inputs!$C$4:$E$15,MATCH(MONTH(L58+190),Inputs!$D$4:$D$15,0),3),",",INDEX(Inputs!$C$4:$E$15,MATCH(MONTH(L58+275),Inputs!$D$4:$D$15,0),3)),IF(T58=3,CONCATENATE(INDEX(Inputs!$C$4:$E$15,MATCH('Loan Entry'!J58,Months,0),3),",",INDEX(Inputs!$C$4:$E$15,MATCH(MONTH(L58+95),Inputs!$D$4:$D$15,0),3),",",INDEX(Inputs!$C$4:$E$15,MATCH(MONTH(L58+190),Inputs!$D$4:$D$15,0),3)),IF(T58=2,CONCATENATE(INDEX(Inputs!$C$4:$E$15,MATCH('Loan Entry'!J58,Months,0),3),",",INDEX(Inputs!$C$4:$E$15,MATCH(MONTH(L58+95),Inputs!$D$4:$D$15,0),3)),INDEX(Inputs!$C$4:$G$15,MATCH('Loan Entry'!J58,Months,0),3)))),INDEX(Inputs!$C$4:$G$15,MATCH('Loan Entry'!N58,Months,0),5))))),"")</f>
        <v/>
      </c>
      <c r="AC58" s="844" t="str">
        <f>IF('Loan Entry'!$M58&gt;0,PMT((365/360)*'Loan Entry'!$E58/'Loan Entry'!$Q58,'Loan Entry'!$O58,'Loan Entry'!$F58*-1)*MIN('Loan Entry'!$Q58,O58),"")</f>
        <v/>
      </c>
      <c r="AD58" s="845" t="str">
        <f>IF(F58&gt;0,IF('Loan Entry'!$M58&lt;&gt;0,IF(U58=1,X58,IF(E58=0,U58*X58,X58)),'Loan Entry'!$AC58),"")</f>
        <v/>
      </c>
      <c r="AE58" s="849" t="str">
        <f>IF('Loan Entry'!$M58&gt;0,'Loan Entry'!$F58-'Loan Entry'!$AD58,"")</f>
        <v/>
      </c>
      <c r="AF58" s="595" t="str">
        <f>IF(AE58&gt;0,AC58,0)</f>
        <v/>
      </c>
      <c r="AG58" s="595"/>
      <c r="AH58" s="611" t="str">
        <f>IF(AE58&lt;&gt;0,IF(AE58&lt;AD58,AE58,IF(E58&gt;0,IF('Loan Entry'!$M58&lt;&gt;0,CUMPRINC(E58/Q58,(O58-T58),AE58,1,T58,0)*-1,),'Loan Entry'!$AC58)),0)</f>
        <v/>
      </c>
      <c r="AI58" s="611">
        <f>IF(M58&gt;0,AE58-AH58,0)</f>
        <v>0</v>
      </c>
    </row>
    <row r="59" spans="1:35" ht="24.95" customHeight="1" x14ac:dyDescent="0.2">
      <c r="A59" s="429" t="str">
        <f>IF('Loan Entry'!$M66&gt;0,DATE((G66+1),1,1),"")</f>
        <v/>
      </c>
      <c r="B59" s="1267" t="str">
        <f>CONCATENATE("Sub-Total ",B53)</f>
        <v>Sub-Total Business Real Estate Loans</v>
      </c>
      <c r="C59" s="1267"/>
      <c r="D59" s="1267"/>
      <c r="E59" s="1267"/>
      <c r="F59" s="1267"/>
      <c r="G59" s="1267"/>
      <c r="H59" s="1267"/>
      <c r="I59" s="1267"/>
      <c r="J59" s="1267"/>
      <c r="K59" s="1267"/>
      <c r="L59" s="1267"/>
      <c r="M59" s="1267"/>
      <c r="N59" s="1267"/>
      <c r="O59" s="1267"/>
      <c r="P59" s="1267"/>
      <c r="Q59" s="1267"/>
      <c r="R59" s="1267"/>
      <c r="S59" s="1267"/>
      <c r="T59" s="1267"/>
      <c r="U59" s="1267"/>
      <c r="V59" s="1267"/>
      <c r="W59" s="1267"/>
      <c r="X59" s="1267"/>
      <c r="Y59" s="1267"/>
      <c r="Z59" s="1267"/>
      <c r="AA59" s="1267"/>
      <c r="AB59" s="1267"/>
      <c r="AC59" s="1267"/>
      <c r="AD59" s="260">
        <f>SUM('Loan Entry'!$AD$55:$AD$58)</f>
        <v>0</v>
      </c>
      <c r="AE59" s="260">
        <f>SUM('Loan Entry'!$AE$55:$AE$58)</f>
        <v>0</v>
      </c>
      <c r="AH59" s="611">
        <f>SUM(AH55:AH58)</f>
        <v>0</v>
      </c>
      <c r="AI59" s="611">
        <f>SUM(AI55:AI58)</f>
        <v>0</v>
      </c>
    </row>
    <row r="60" spans="1:35" ht="24.95" customHeight="1" x14ac:dyDescent="0.2">
      <c r="AH60" s="611"/>
      <c r="AI60" s="611"/>
    </row>
    <row r="61" spans="1:35" ht="24.95" customHeight="1" x14ac:dyDescent="0.2">
      <c r="B61" s="1269" t="s">
        <v>108</v>
      </c>
      <c r="C61" s="1269"/>
      <c r="D61" s="1269"/>
      <c r="E61" s="1269"/>
      <c r="F61" s="1269"/>
      <c r="G61" s="1269"/>
      <c r="H61" s="1269"/>
      <c r="I61" s="1269"/>
      <c r="J61" s="1269"/>
      <c r="K61" s="1269"/>
      <c r="L61" s="1269"/>
      <c r="M61" s="1269"/>
      <c r="N61" s="1269"/>
      <c r="O61" s="1269"/>
      <c r="P61" s="1269"/>
      <c r="Q61" s="1269"/>
      <c r="R61" s="1269"/>
      <c r="S61" s="1269"/>
      <c r="T61" s="1269"/>
      <c r="U61" s="1269"/>
      <c r="V61" s="1269"/>
      <c r="W61" s="1269"/>
      <c r="X61" s="1269"/>
      <c r="Y61" s="1269"/>
      <c r="Z61" s="1269"/>
      <c r="AA61" s="1269"/>
      <c r="AB61" s="1269"/>
      <c r="AC61" s="1269"/>
      <c r="AD61" s="1269"/>
      <c r="AE61" s="1269"/>
      <c r="AH61" s="611"/>
      <c r="AI61" s="611"/>
    </row>
    <row r="62" spans="1:35" ht="24.95" customHeight="1" thickBot="1" x14ac:dyDescent="0.25">
      <c r="B62" s="451" t="s">
        <v>90</v>
      </c>
      <c r="C62" s="452" t="s">
        <v>91</v>
      </c>
      <c r="D62" s="448" t="s">
        <v>172</v>
      </c>
      <c r="E62" s="453" t="s">
        <v>92</v>
      </c>
      <c r="F62" s="449" t="s">
        <v>114</v>
      </c>
      <c r="G62" s="449" t="s">
        <v>96</v>
      </c>
      <c r="H62" s="449" t="s">
        <v>223</v>
      </c>
      <c r="I62" s="454" t="s">
        <v>103</v>
      </c>
      <c r="J62" s="454" t="s">
        <v>178</v>
      </c>
      <c r="K62" s="526" t="s">
        <v>225</v>
      </c>
      <c r="L62" s="526" t="s">
        <v>228</v>
      </c>
      <c r="M62" s="449" t="s">
        <v>97</v>
      </c>
      <c r="N62" s="527" t="s">
        <v>226</v>
      </c>
      <c r="O62" s="527" t="s">
        <v>227</v>
      </c>
      <c r="P62" s="527" t="s">
        <v>224</v>
      </c>
      <c r="Q62" s="527" t="s">
        <v>106</v>
      </c>
      <c r="R62" s="527" t="s">
        <v>181</v>
      </c>
      <c r="S62" s="527" t="s">
        <v>421</v>
      </c>
      <c r="T62" s="527" t="s">
        <v>195</v>
      </c>
      <c r="U62" s="527" t="s">
        <v>201</v>
      </c>
      <c r="V62" s="527" t="s">
        <v>179</v>
      </c>
      <c r="W62" s="527" t="s">
        <v>180</v>
      </c>
      <c r="X62" s="527" t="s">
        <v>193</v>
      </c>
      <c r="Y62" s="527" t="s">
        <v>194</v>
      </c>
      <c r="Z62" s="527" t="s">
        <v>418</v>
      </c>
      <c r="AA62" s="527" t="s">
        <v>417</v>
      </c>
      <c r="AB62" s="527" t="s">
        <v>105</v>
      </c>
      <c r="AC62" s="454" t="s">
        <v>93</v>
      </c>
      <c r="AD62" s="454" t="s">
        <v>94</v>
      </c>
      <c r="AE62" s="454" t="s">
        <v>95</v>
      </c>
      <c r="AH62" s="611"/>
      <c r="AI62" s="611"/>
    </row>
    <row r="63" spans="1:35" ht="24.95" customHeight="1" thickTop="1" x14ac:dyDescent="0.2">
      <c r="A63" s="427" t="str">
        <f>IF('Loan Entry'!$M63&gt;0,DATE((G63+1),1,1),"")</f>
        <v/>
      </c>
      <c r="B63" s="314"/>
      <c r="C63" s="315"/>
      <c r="D63" s="860"/>
      <c r="E63" s="857"/>
      <c r="F63" s="316"/>
      <c r="G63" s="317"/>
      <c r="H63" s="418" t="str">
        <f>IF(I63&gt;0,ROUNDDOWN(Year+I63,0),"")</f>
        <v/>
      </c>
      <c r="I63" s="317"/>
      <c r="J63" s="317"/>
      <c r="K63" s="418" t="e">
        <f>IF(H63&gt;0,IF(H63-Year=0,"yes","no"),"")</f>
        <v>#VALUE!</v>
      </c>
      <c r="L63" s="418" t="str">
        <f>IF('Loan Entry'!$J63&gt;0,DATE(G63,INDEX(Inputs!$C$4:$D$15,MATCH(J63,Months,0),2),1),"")</f>
        <v/>
      </c>
      <c r="M63" s="317"/>
      <c r="N63" s="418" t="str">
        <f>IF(M63&lt;&gt;0,IF(AND(K63="yes",M63="Monthly")=TRUE,CHOOSE(R63,"January","February","March","April","May","June","July","August","September","October","November","December"),RIGHT(AB63,3)),"")</f>
        <v/>
      </c>
      <c r="O63" s="418" t="str">
        <f>IF('Loan Entry'!$M63&gt;0,'Loan Entry'!$I63*'Loan Entry'!$Q63,"")</f>
        <v/>
      </c>
      <c r="P63" s="418" t="str">
        <f>IF(M63&gt;0,(H63-(G63-1))*IF(M63="Monthly",12,IF(M63="Quarterly",4,IF(M63="Semi-Annual",2,1))),"")</f>
        <v/>
      </c>
      <c r="Q63" s="418" t="str">
        <f>IF(M63&gt;0,IF(M63="Monthly",12,IF(M63="Quarterly",4,IF(M63="Semi-Annual",2,1))),"")</f>
        <v/>
      </c>
      <c r="R63" s="418" t="str">
        <f>IF(M63&gt;0,IF(I63&lt;1,IF(M63="Annual",1,(YEARFRAC(L63,A63,))*IF(M63="Monthly",O63,IF(M63="quarterly",O63*3,IF(M63="semi-annual",O63*2,12)))),IF(M63="Annual",1,(YEARFRAC(L63,A63,))*12)),"")</f>
        <v/>
      </c>
      <c r="S63" s="418">
        <f>IF(M63&gt;0,INDEX(Inputs!$J$26:$K$37,MATCH('Loan Entry'!N63,Inputs!$J$26:$J$37,0),2)/12,0)</f>
        <v>0</v>
      </c>
      <c r="T63" s="418" t="str">
        <f>IF(M63&lt;&gt;0,IF(R63&gt;12,12,ROUNDUP(IF(M63="Monthly",12*(R63/Q63),IF(M63="Quarterly",((R63/12)*Q63),IF(M63="Semi-Annual",IF(((R63/12)*Q63)&gt;1,2,1),1))),0)),"")</f>
        <v/>
      </c>
      <c r="U63" s="418" t="str">
        <f>IF(M63&gt;0,T63/Q63,"")</f>
        <v/>
      </c>
      <c r="V63" s="418" t="str">
        <f>IF('Loan Entry'!$M63&gt;0,IF(U63=1,X63/T63,(X63/T63)),"")</f>
        <v/>
      </c>
      <c r="W63" s="418" t="str">
        <f>IF('Loan Entry'!$M63&gt;0,IF(U63=1,Y63/T63,U63*(Y63/T63)),"")</f>
        <v/>
      </c>
      <c r="X63" s="418" t="str">
        <f>IF(E63&gt;0,IF('Loan Entry'!$M63&lt;&gt;0,CUMPRINC((365/360)*E63/Q63,O63,F63,1,T63,0)*-1,),'Loan Entry'!$AC63)</f>
        <v/>
      </c>
      <c r="Y63" s="418">
        <f>IF(E63&gt;0,IF('Loan Entry'!$M63&lt;&gt;0,CUMIPMT(((365/360)*E63)/Q63,O63,F63,1,T63,0)*-1,),0)</f>
        <v>0</v>
      </c>
      <c r="Z63" s="418">
        <f>IF(ISERROR(S63*IF(E63&gt;0,IF('Loan Entry'!$M63&lt;&gt;0,CUMIPMT(((365/360)*E63)/Q63,O63,F63,1,T63,0)*-1,),0))=FALSE,S63*IF(E63&gt;0,IF('Loan Entry'!$M63&lt;&gt;0,CUMIPMT(((365/360)*E63)/Q63,O63,F63,1,T63,0)*-1,),0),0)</f>
        <v>0</v>
      </c>
      <c r="AA63" s="418">
        <f>IF(ISERROR(S63*IF(E63&gt;0,IF('Loan Entry'!$M63&lt;&gt;0,CUMIPMT(((365/360)*E63)/Q63,O63-T63,F63,1+T63,T63+T63,0)*-1,),0))=FALSE,S63*IF(E63&gt;0,IF('Loan Entry'!$M63&lt;&gt;0,CUMIPMT(((365/360)*E63)/Q63,O63-T63,F63,1+T63,T63+T63,0)*-1,),0),0)</f>
        <v>0</v>
      </c>
      <c r="AB63" s="418" t="str">
        <f>IF(M63&lt;&gt;0,IF(K63="no",IF(M63="annual",INDEX(Inputs!$C$4:$E$15,MATCH('Loan Entry'!J63,Months,0),3),IF(M63="semi-annual",IF(T63=2,CONCATENATE(INDEX(Inputs!$C$4:$E$15,MATCH('Loan Entry'!J63,Months,0),3),",",INDEX(Inputs!$C$4:$E$15,MATCH(MONTH(L63+190),Inputs!$D$4:$D$15,0),3)),INDEX(Inputs!$C$4:$E$15,MATCH('Loan Entry'!J63,Months,0),3)),IF(M63="Quarterly",IF(T63=4,CONCATENATE(INDEX(Inputs!$C$4:$E$15,MATCH('Loan Entry'!J63,Months,0),3),",",INDEX(Inputs!$C$4:$E$15,MATCH(MONTH(L63+95),Inputs!$D$4:$D$15,0),3),",",INDEX(Inputs!$C$4:$E$15,MATCH(MONTH(L63+190),Inputs!$D$4:$D$15,0),3),",",INDEX(Inputs!$C$4:$E$15,MATCH(MONTH(L63+275),Inputs!$D$4:$D$15,0),3)),IF(T63=3,CONCATENATE(INDEX(Inputs!$C$4:$E$15,MATCH('Loan Entry'!J63,Months,0),3),",",INDEX(Inputs!$C$4:$E$15,MATCH(MONTH(L63+95),Inputs!$D$4:$D$15,0),3),",",INDEX(Inputs!$C$4:$E$15,MATCH(MONTH(L63+190),Inputs!$D$4:$D$15,0),3)),IF(T63=2,CONCATENATE(INDEX(Inputs!$C$4:$E$15,MATCH('Loan Entry'!J63,Months,0),3),",",INDEX(Inputs!$C$4:$E$15,MATCH(MONTH(L63+95),Inputs!$D$4:$D$15,0),3)),INDEX(Inputs!$C$4:$E$15,MATCH('Loan Entry'!J63,Months,0),3)))),INDEX(Inputs!$C$4:$F$15,MATCH('Loan Entry'!J63,Months,0),4)))),IF(M63="annual",INDEX(Inputs!$C$4:$E$15,MATCH('Loan Entry'!J63,Months,0),3),IF(M63="semi-annual",IF(T63=2,CONCATENATE(INDEX(Inputs!$C$4:$E$15,MATCH('Loan Entry'!J63,Months,0),3),",",INDEX(Inputs!$C$4:$E$15,MATCH(MONTH(L63+190),Inputs!$D$4:$D$15,0),3)),INDEX(Inputs!$C$4:$E$15,MATCH('Loan Entry'!J63,Months,0),3)),IF(M63="Quarterly",IF(T63=4,CONCATENATE(INDEX(Inputs!$C$4:$E$15,MATCH('Loan Entry'!J63,Months,0),3),",",INDEX(Inputs!$C$4:$E$15,MATCH(MONTH(L63+95),Inputs!$D$4:$D$15,0),3),",",INDEX(Inputs!$C$4:$E$15,MATCH(MONTH(L63+190),Inputs!$D$4:$D$15,0),3),",",INDEX(Inputs!$C$4:$E$15,MATCH(MONTH(L63+275),Inputs!$D$4:$D$15,0),3)),IF(T63=3,CONCATENATE(INDEX(Inputs!$C$4:$E$15,MATCH('Loan Entry'!J63,Months,0),3),",",INDEX(Inputs!$C$4:$E$15,MATCH(MONTH(L63+95),Inputs!$D$4:$D$15,0),3),",",INDEX(Inputs!$C$4:$E$15,MATCH(MONTH(L63+190),Inputs!$D$4:$D$15,0),3)),IF(T63=2,CONCATENATE(INDEX(Inputs!$C$4:$E$15,MATCH('Loan Entry'!J63,Months,0),3),",",INDEX(Inputs!$C$4:$E$15,MATCH(MONTH(L63+95),Inputs!$D$4:$D$15,0),3)),INDEX(Inputs!$C$4:$G$15,MATCH('Loan Entry'!J63,Months,0),3)))),INDEX(Inputs!$C$4:$G$15,MATCH('Loan Entry'!N63,Months,0),5))))),"")</f>
        <v/>
      </c>
      <c r="AC63" s="842" t="str">
        <f>IF('Loan Entry'!$M63&gt;0,PMT((365/360)*'Loan Entry'!$E63/'Loan Entry'!$Q63,'Loan Entry'!$O63,'Loan Entry'!$F63*-1)*MIN('Loan Entry'!$Q63,O63),"")</f>
        <v/>
      </c>
      <c r="AD63" s="843" t="str">
        <f>IF(F63&gt;0,IF('Loan Entry'!$M63&lt;&gt;0,IF(U63=1,X63,IF(E63=0,U63*X63,X63)),'Loan Entry'!$AC63),"")</f>
        <v/>
      </c>
      <c r="AE63" s="848" t="str">
        <f>IF('Loan Entry'!$M63&gt;0,'Loan Entry'!$F63-'Loan Entry'!$AD63,"")</f>
        <v/>
      </c>
      <c r="AF63" s="595" t="str">
        <f>IF(AE63&gt;0,AC63,0)</f>
        <v/>
      </c>
      <c r="AG63" s="595"/>
      <c r="AH63" s="611" t="str">
        <f>IF(AE63&lt;&gt;0,IF(AE63&lt;AD63,AE63,IF(E63&gt;0,IF('Loan Entry'!$M63&lt;&gt;0,CUMPRINC(E63/Q63,(O63-T63),AE63,1,T63,0)*-1,),'Loan Entry'!$AC63)),0)</f>
        <v/>
      </c>
      <c r="AI63" s="611">
        <f>IF(M63&gt;0,AE63-AH63,0)</f>
        <v>0</v>
      </c>
    </row>
    <row r="64" spans="1:35" ht="24.95" customHeight="1" x14ac:dyDescent="0.2">
      <c r="A64" s="429" t="str">
        <f>IF('Loan Entry'!$M64&gt;0,DATE((G64+1),1,1),"")</f>
        <v/>
      </c>
      <c r="B64" s="318"/>
      <c r="C64" s="319"/>
      <c r="D64" s="861"/>
      <c r="E64" s="858"/>
      <c r="F64" s="320"/>
      <c r="G64" s="321"/>
      <c r="H64" s="419" t="str">
        <f>IF(I64&gt;0,ROUNDDOWN(Year+I64,0),"")</f>
        <v/>
      </c>
      <c r="I64" s="321"/>
      <c r="J64" s="321"/>
      <c r="K64" s="419" t="e">
        <f>IF(H64&gt;0,IF(H64-Year=0,"yes","no"),"")</f>
        <v>#VALUE!</v>
      </c>
      <c r="L64" s="419" t="str">
        <f>IF('Loan Entry'!$J64&gt;0,DATE(G64,INDEX(Inputs!$C$4:$D$15,MATCH(J64,Months,0),2),1),"")</f>
        <v/>
      </c>
      <c r="M64" s="321"/>
      <c r="N64" s="419" t="str">
        <f>IF(M64&lt;&gt;0,IF(AND(K64="yes",M64="Monthly")=TRUE,CHOOSE(R64,"January","February","March","April","May","June","July","August","September","October","November","December"),RIGHT(AB64,3)),"")</f>
        <v/>
      </c>
      <c r="O64" s="537" t="str">
        <f>IF('Loan Entry'!$M64&gt;0,'Loan Entry'!$I64*'Loan Entry'!$Q64,"")</f>
        <v/>
      </c>
      <c r="P64" s="537" t="str">
        <f>IF(M64&gt;0,(H64-(G64-1))*IF(M64="Monthly",12,IF(M64="Quarterly",4,IF(M64="Semi-Annual",2,1))),"")</f>
        <v/>
      </c>
      <c r="Q64" s="537" t="str">
        <f>IF(M64&gt;0,IF(M64="Monthly",12,IF(M64="Quarterly",4,IF(M64="Semi-Annual",2,1))),"")</f>
        <v/>
      </c>
      <c r="R64" s="537" t="str">
        <f>IF(M64&gt;0,IF(I64&lt;1,IF(M64="Annual",1,(YEARFRAC(L64,A64,))*IF(M64="Monthly",O64,IF(M64="quarterly",O64*3,IF(M64="semi-annual",O64*2,12)))),IF(M64="Annual",1,(YEARFRAC(L64,A64,))*12)),"")</f>
        <v/>
      </c>
      <c r="S64" s="537">
        <f>IF(M64&gt;0,INDEX(Inputs!$J$26:$K$37,MATCH('Loan Entry'!N64,Inputs!$J$26:$J$37,0),2)/12,0)</f>
        <v>0</v>
      </c>
      <c r="T64" s="537" t="str">
        <f>IF(M64&lt;&gt;0,IF(R64&gt;12,12,ROUNDUP(IF(M64="Monthly",12*(R64/Q64),IF(M64="Quarterly",((R64/12)*Q64),IF(M64="Semi-Annual",IF(((R64/12)*Q64)&gt;1,2,1),1))),0)),"")</f>
        <v/>
      </c>
      <c r="U64" s="537" t="str">
        <f>IF(M64&gt;0,T64/Q64,"")</f>
        <v/>
      </c>
      <c r="V64" s="537" t="str">
        <f>IF('Loan Entry'!$M64&gt;0,IF(U64=1,X64/T64,(X64/T64)),"")</f>
        <v/>
      </c>
      <c r="W64" s="537" t="str">
        <f>IF('Loan Entry'!$M64&gt;0,IF(U64=1,Y64/T64,U64*(Y64/T64)),"")</f>
        <v/>
      </c>
      <c r="X64" s="537" t="str">
        <f>IF(E64&gt;0,IF('Loan Entry'!$M64&lt;&gt;0,CUMPRINC((365/360)*E64/Q64,O64,F64,1,T64,0)*-1,),'Loan Entry'!$AC64)</f>
        <v/>
      </c>
      <c r="Y64" s="537">
        <f>IF(E64&gt;0,IF('Loan Entry'!$M64&lt;&gt;0,CUMIPMT(((365/360)*E64)/Q64,O64,F64,1,T64,0)*-1,),0)</f>
        <v>0</v>
      </c>
      <c r="Z64" s="537">
        <f>IF(ISERROR(S64*IF(E64&gt;0,IF('Loan Entry'!$M64&lt;&gt;0,CUMIPMT(((365/360)*E64)/Q64,O64,F64,1,T64,0)*-1,),0))=FALSE,S64*IF(E64&gt;0,IF('Loan Entry'!$M64&lt;&gt;0,CUMIPMT(((365/360)*E64)/Q64,O64,F64,1,T64,0)*-1,),0),0)</f>
        <v>0</v>
      </c>
      <c r="AA64" s="537">
        <f>IF(ISERROR(S64*IF(E64&gt;0,IF('Loan Entry'!$M64&lt;&gt;0,CUMIPMT(((365/360)*E64)/Q64,O64-T64,F64,1+T64,T64+T64,0)*-1,),0))=FALSE,S64*IF(E64&gt;0,IF('Loan Entry'!$M64&lt;&gt;0,CUMIPMT(((365/360)*E64)/Q64,O64-T64,F64,1+T64,T64+T64,0)*-1,),0),0)</f>
        <v>0</v>
      </c>
      <c r="AB64" s="537" t="str">
        <f>IF(M64&lt;&gt;0,IF(K64="no",IF(M64="annual",INDEX(Inputs!$C$4:$E$15,MATCH('Loan Entry'!J64,Months,0),3),IF(M64="semi-annual",IF(T64=2,CONCATENATE(INDEX(Inputs!$C$4:$E$15,MATCH('Loan Entry'!J64,Months,0),3),",",INDEX(Inputs!$C$4:$E$15,MATCH(MONTH(L64+190),Inputs!$D$4:$D$15,0),3)),INDEX(Inputs!$C$4:$E$15,MATCH('Loan Entry'!J64,Months,0),3)),IF(M64="Quarterly",IF(T64=4,CONCATENATE(INDEX(Inputs!$C$4:$E$15,MATCH('Loan Entry'!J64,Months,0),3),",",INDEX(Inputs!$C$4:$E$15,MATCH(MONTH(L64+95),Inputs!$D$4:$D$15,0),3),",",INDEX(Inputs!$C$4:$E$15,MATCH(MONTH(L64+190),Inputs!$D$4:$D$15,0),3),",",INDEX(Inputs!$C$4:$E$15,MATCH(MONTH(L64+275),Inputs!$D$4:$D$15,0),3)),IF(T64=3,CONCATENATE(INDEX(Inputs!$C$4:$E$15,MATCH('Loan Entry'!J64,Months,0),3),",",INDEX(Inputs!$C$4:$E$15,MATCH(MONTH(L64+95),Inputs!$D$4:$D$15,0),3),",",INDEX(Inputs!$C$4:$E$15,MATCH(MONTH(L64+190),Inputs!$D$4:$D$15,0),3)),IF(T64=2,CONCATENATE(INDEX(Inputs!$C$4:$E$15,MATCH('Loan Entry'!J64,Months,0),3),",",INDEX(Inputs!$C$4:$E$15,MATCH(MONTH(L64+95),Inputs!$D$4:$D$15,0),3)),INDEX(Inputs!$C$4:$E$15,MATCH('Loan Entry'!J64,Months,0),3)))),INDEX(Inputs!$C$4:$F$15,MATCH('Loan Entry'!J64,Months,0),4)))),IF(M64="annual",INDEX(Inputs!$C$4:$E$15,MATCH('Loan Entry'!J64,Months,0),3),IF(M64="semi-annual",IF(T64=2,CONCATENATE(INDEX(Inputs!$C$4:$E$15,MATCH('Loan Entry'!J64,Months,0),3),",",INDEX(Inputs!$C$4:$E$15,MATCH(MONTH(L64+190),Inputs!$D$4:$D$15,0),3)),INDEX(Inputs!$C$4:$E$15,MATCH('Loan Entry'!J64,Months,0),3)),IF(M64="Quarterly",IF(T64=4,CONCATENATE(INDEX(Inputs!$C$4:$E$15,MATCH('Loan Entry'!J64,Months,0),3),",",INDEX(Inputs!$C$4:$E$15,MATCH(MONTH(L64+95),Inputs!$D$4:$D$15,0),3),",",INDEX(Inputs!$C$4:$E$15,MATCH(MONTH(L64+190),Inputs!$D$4:$D$15,0),3),",",INDEX(Inputs!$C$4:$E$15,MATCH(MONTH(L64+275),Inputs!$D$4:$D$15,0),3)),IF(T64=3,CONCATENATE(INDEX(Inputs!$C$4:$E$15,MATCH('Loan Entry'!J64,Months,0),3),",",INDEX(Inputs!$C$4:$E$15,MATCH(MONTH(L64+95),Inputs!$D$4:$D$15,0),3),",",INDEX(Inputs!$C$4:$E$15,MATCH(MONTH(L64+190),Inputs!$D$4:$D$15,0),3)),IF(T64=2,CONCATENATE(INDEX(Inputs!$C$4:$E$15,MATCH('Loan Entry'!J64,Months,0),3),",",INDEX(Inputs!$C$4:$E$15,MATCH(MONTH(L64+95),Inputs!$D$4:$D$15,0),3)),INDEX(Inputs!$C$4:$G$15,MATCH('Loan Entry'!J64,Months,0),3)))),INDEX(Inputs!$C$4:$G$15,MATCH('Loan Entry'!N64,Months,0),5))))),"")</f>
        <v/>
      </c>
      <c r="AC64" s="844" t="str">
        <f>IF('Loan Entry'!$M64&gt;0,PMT((365/360)*'Loan Entry'!$E64/'Loan Entry'!$Q64,'Loan Entry'!$O64,'Loan Entry'!$F64*-1)*MIN('Loan Entry'!$Q64,O64),"")</f>
        <v/>
      </c>
      <c r="AD64" s="845" t="str">
        <f>IF(F64&gt;0,IF('Loan Entry'!$M64&lt;&gt;0,IF(U64=1,X64,IF(E64=0,U64*X64,X64)),'Loan Entry'!$AC64),"")</f>
        <v/>
      </c>
      <c r="AE64" s="849" t="str">
        <f>IF('Loan Entry'!$M64&gt;0,'Loan Entry'!$F64-'Loan Entry'!$AD64,"")</f>
        <v/>
      </c>
      <c r="AF64" s="595" t="str">
        <f>IF(AE64&gt;0,AC64,0)</f>
        <v/>
      </c>
      <c r="AG64" s="595"/>
      <c r="AH64" s="611" t="str">
        <f>IF(AE64&lt;&gt;0,IF(AE64&lt;AD64,AE64,IF(E64&gt;0,IF('Loan Entry'!$M64&lt;&gt;0,CUMPRINC(E64/Q64,(O64-T64),AE64,1,T64,0)*-1,),'Loan Entry'!$AC64)),0)</f>
        <v/>
      </c>
      <c r="AI64" s="611">
        <f>IF(M64&gt;0,AE64-AH64,0)</f>
        <v>0</v>
      </c>
    </row>
    <row r="65" spans="1:35" ht="24.95" customHeight="1" x14ac:dyDescent="0.2">
      <c r="A65" s="429" t="str">
        <f>IF('Loan Entry'!$M65&gt;0,DATE((G65+1),1,1),"")</f>
        <v/>
      </c>
      <c r="B65" s="322"/>
      <c r="C65" s="323"/>
      <c r="D65" s="862"/>
      <c r="E65" s="859"/>
      <c r="F65" s="324"/>
      <c r="G65" s="325"/>
      <c r="H65" s="420" t="str">
        <f>IF(I65&gt;0,ROUNDDOWN(Year+I65,0),"")</f>
        <v/>
      </c>
      <c r="I65" s="325"/>
      <c r="J65" s="325"/>
      <c r="K65" s="420" t="e">
        <f>IF(H65&gt;0,IF(H65-Year=0,"yes","no"),"")</f>
        <v>#VALUE!</v>
      </c>
      <c r="L65" s="420" t="str">
        <f>IF('Loan Entry'!$J65&gt;0,DATE(G65,INDEX(Inputs!$C$4:$D$15,MATCH(J65,Months,0),2),1),"")</f>
        <v/>
      </c>
      <c r="M65" s="325"/>
      <c r="N65" s="420" t="str">
        <f>IF(M65&lt;&gt;0,IF(AND(K65="yes",M65="Monthly")=TRUE,CHOOSE(R65,"January","February","March","April","May","June","July","August","September","October","November","December"),RIGHT(AB65,3)),"")</f>
        <v/>
      </c>
      <c r="O65" s="539" t="str">
        <f>IF('Loan Entry'!$M65&gt;0,'Loan Entry'!$I65*'Loan Entry'!$Q65,"")</f>
        <v/>
      </c>
      <c r="P65" s="539" t="str">
        <f>IF(M65&gt;0,(H65-(G65-1))*IF(M65="Monthly",12,IF(M65="Quarterly",4,IF(M65="Semi-Annual",2,1))),"")</f>
        <v/>
      </c>
      <c r="Q65" s="539" t="str">
        <f>IF(M65&gt;0,IF(M65="Monthly",12,IF(M65="Quarterly",4,IF(M65="Semi-Annual",2,1))),"")</f>
        <v/>
      </c>
      <c r="R65" s="539" t="str">
        <f>IF(M65&gt;0,IF(I65&lt;1,IF(M65="Annual",1,(YEARFRAC(L65,A65,))*IF(M65="Monthly",O65,IF(M65="quarterly",O65*3,IF(M65="semi-annual",O65*2,12)))),IF(M65="Annual",1,(YEARFRAC(L65,A65,))*12)),"")</f>
        <v/>
      </c>
      <c r="S65" s="539">
        <f>IF(M65&gt;0,INDEX(Inputs!$J$26:$K$37,MATCH('Loan Entry'!N65,Inputs!$J$26:$J$37,0),2)/12,0)</f>
        <v>0</v>
      </c>
      <c r="T65" s="539" t="str">
        <f>IF(M65&lt;&gt;0,IF(R65&gt;12,12,ROUNDUP(IF(M65="Monthly",12*(R65/Q65),IF(M65="Quarterly",((R65/12)*Q65),IF(M65="Semi-Annual",IF(((R65/12)*Q65)&gt;1,2,1),1))),0)),"")</f>
        <v/>
      </c>
      <c r="U65" s="539" t="str">
        <f>IF(M65&gt;0,T65/Q65,"")</f>
        <v/>
      </c>
      <c r="V65" s="539" t="str">
        <f>IF('Loan Entry'!$M65&gt;0,IF(U65=1,X65/T65,(X65/T65)),"")</f>
        <v/>
      </c>
      <c r="W65" s="539" t="str">
        <f>IF('Loan Entry'!$M65&gt;0,IF(U65=1,Y65/T65,U65*(Y65/T65)),"")</f>
        <v/>
      </c>
      <c r="X65" s="539" t="str">
        <f>IF(E65&gt;0,IF('Loan Entry'!$M65&lt;&gt;0,CUMPRINC((365/360)*E65/Q65,O65,F65,1,T65,0)*-1,),'Loan Entry'!$AC65)</f>
        <v/>
      </c>
      <c r="Y65" s="539">
        <f>IF(E65&gt;0,IF('Loan Entry'!$M65&lt;&gt;0,CUMIPMT(((365/360)*E65)/Q65,O65,F65,1,T65,0)*-1,),0)</f>
        <v>0</v>
      </c>
      <c r="Z65" s="539">
        <f>IF(ISERROR(S65*IF(E65&gt;0,IF('Loan Entry'!$M65&lt;&gt;0,CUMIPMT(((365/360)*E65)/Q65,O65,F65,1,T65,0)*-1,),0))=FALSE,S65*IF(E65&gt;0,IF('Loan Entry'!$M65&lt;&gt;0,CUMIPMT(((365/360)*E65)/Q65,O65,F65,1,T65,0)*-1,),0),0)</f>
        <v>0</v>
      </c>
      <c r="AA65" s="539">
        <f>IF(ISERROR(S65*IF(E65&gt;0,IF('Loan Entry'!$M65&lt;&gt;0,CUMIPMT(((365/360)*E65)/Q65,O65-T65,F65,1+T65,T65+T65,0)*-1,),0))=FALSE,S65*IF(E65&gt;0,IF('Loan Entry'!$M65&lt;&gt;0,CUMIPMT(((365/360)*E65)/Q65,O65-T65,F65,1+T65,T65+T65,0)*-1,),0),0)</f>
        <v>0</v>
      </c>
      <c r="AB65" s="539" t="str">
        <f>IF(M65&lt;&gt;0,IF(K65="no",IF(M65="annual",INDEX(Inputs!$C$4:$E$15,MATCH('Loan Entry'!J65,Months,0),3),IF(M65="semi-annual",IF(T65=2,CONCATENATE(INDEX(Inputs!$C$4:$E$15,MATCH('Loan Entry'!J65,Months,0),3),",",INDEX(Inputs!$C$4:$E$15,MATCH(MONTH(L65+190),Inputs!$D$4:$D$15,0),3)),INDEX(Inputs!$C$4:$E$15,MATCH('Loan Entry'!J65,Months,0),3)),IF(M65="Quarterly",IF(T65=4,CONCATENATE(INDEX(Inputs!$C$4:$E$15,MATCH('Loan Entry'!J65,Months,0),3),",",INDEX(Inputs!$C$4:$E$15,MATCH(MONTH(L65+95),Inputs!$D$4:$D$15,0),3),",",INDEX(Inputs!$C$4:$E$15,MATCH(MONTH(L65+190),Inputs!$D$4:$D$15,0),3),",",INDEX(Inputs!$C$4:$E$15,MATCH(MONTH(L65+275),Inputs!$D$4:$D$15,0),3)),IF(T65=3,CONCATENATE(INDEX(Inputs!$C$4:$E$15,MATCH('Loan Entry'!J65,Months,0),3),",",INDEX(Inputs!$C$4:$E$15,MATCH(MONTH(L65+95),Inputs!$D$4:$D$15,0),3),",",INDEX(Inputs!$C$4:$E$15,MATCH(MONTH(L65+190),Inputs!$D$4:$D$15,0),3)),IF(T65=2,CONCATENATE(INDEX(Inputs!$C$4:$E$15,MATCH('Loan Entry'!J65,Months,0),3),",",INDEX(Inputs!$C$4:$E$15,MATCH(MONTH(L65+95),Inputs!$D$4:$D$15,0),3)),INDEX(Inputs!$C$4:$E$15,MATCH('Loan Entry'!J65,Months,0),3)))),INDEX(Inputs!$C$4:$F$15,MATCH('Loan Entry'!J65,Months,0),4)))),IF(M65="annual",INDEX(Inputs!$C$4:$E$15,MATCH('Loan Entry'!J65,Months,0),3),IF(M65="semi-annual",IF(T65=2,CONCATENATE(INDEX(Inputs!$C$4:$E$15,MATCH('Loan Entry'!J65,Months,0),3),",",INDEX(Inputs!$C$4:$E$15,MATCH(MONTH(L65+190),Inputs!$D$4:$D$15,0),3)),INDEX(Inputs!$C$4:$E$15,MATCH('Loan Entry'!J65,Months,0),3)),IF(M65="Quarterly",IF(T65=4,CONCATENATE(INDEX(Inputs!$C$4:$E$15,MATCH('Loan Entry'!J65,Months,0),3),",",INDEX(Inputs!$C$4:$E$15,MATCH(MONTH(L65+95),Inputs!$D$4:$D$15,0),3),",",INDEX(Inputs!$C$4:$E$15,MATCH(MONTH(L65+190),Inputs!$D$4:$D$15,0),3),",",INDEX(Inputs!$C$4:$E$15,MATCH(MONTH(L65+275),Inputs!$D$4:$D$15,0),3)),IF(T65=3,CONCATENATE(INDEX(Inputs!$C$4:$E$15,MATCH('Loan Entry'!J65,Months,0),3),",",INDEX(Inputs!$C$4:$E$15,MATCH(MONTH(L65+95),Inputs!$D$4:$D$15,0),3),",",INDEX(Inputs!$C$4:$E$15,MATCH(MONTH(L65+190),Inputs!$D$4:$D$15,0),3)),IF(T65=2,CONCATENATE(INDEX(Inputs!$C$4:$E$15,MATCH('Loan Entry'!J65,Months,0),3),",",INDEX(Inputs!$C$4:$E$15,MATCH(MONTH(L65+95),Inputs!$D$4:$D$15,0),3)),INDEX(Inputs!$C$4:$G$15,MATCH('Loan Entry'!J65,Months,0),3)))),INDEX(Inputs!$C$4:$G$15,MATCH('Loan Entry'!N65,Months,0),5))))),"")</f>
        <v/>
      </c>
      <c r="AC65" s="846" t="str">
        <f>IF('Loan Entry'!$M65&gt;0,PMT((365/360)*'Loan Entry'!$E65/'Loan Entry'!$Q65,'Loan Entry'!$O65,'Loan Entry'!$F65*-1)*MIN('Loan Entry'!$Q65,O65),"")</f>
        <v/>
      </c>
      <c r="AD65" s="845" t="str">
        <f>IF(F65&gt;0,IF('Loan Entry'!$M65&lt;&gt;0,IF(U65=1,X65,IF(E65=0,U65*X65,X65)),'Loan Entry'!$AC65),"")</f>
        <v/>
      </c>
      <c r="AE65" s="850" t="str">
        <f>IF('Loan Entry'!$M65&gt;0,'Loan Entry'!$F65-'Loan Entry'!$AD65,"")</f>
        <v/>
      </c>
      <c r="AF65" s="595" t="str">
        <f>IF(AE65&gt;0,AC65,0)</f>
        <v/>
      </c>
      <c r="AG65" s="595"/>
      <c r="AH65" s="611" t="str">
        <f>IF(AE65&lt;&gt;0,IF(AE65&lt;AD65,AE65,IF(E65&gt;0,IF('Loan Entry'!$M65&lt;&gt;0,CUMPRINC(E65/Q65,(O65-T65),AE65,1,T65,0)*-1,),'Loan Entry'!$AC65)),0)</f>
        <v/>
      </c>
      <c r="AI65" s="611">
        <f>IF(M65&gt;0,AE65-AH65,0)</f>
        <v>0</v>
      </c>
    </row>
    <row r="66" spans="1:35" ht="24.95" customHeight="1" x14ac:dyDescent="0.2">
      <c r="A66" s="429" t="str">
        <f>IF('Loan Entry'!$M66&gt;0,DATE((G66+1),1,1),"")</f>
        <v/>
      </c>
      <c r="B66" s="318"/>
      <c r="C66" s="319"/>
      <c r="D66" s="861"/>
      <c r="E66" s="858"/>
      <c r="F66" s="320"/>
      <c r="G66" s="321"/>
      <c r="H66" s="419" t="str">
        <f>IF(I66&gt;0,ROUNDDOWN(Year+I66,0),"")</f>
        <v/>
      </c>
      <c r="I66" s="321"/>
      <c r="J66" s="321"/>
      <c r="K66" s="419" t="e">
        <f>IF(H66&gt;0,IF(H66-Year=0,"yes","no"),"")</f>
        <v>#VALUE!</v>
      </c>
      <c r="L66" s="419" t="str">
        <f>IF('Loan Entry'!$J66&gt;0,DATE(G66,INDEX(Inputs!$C$4:$D$15,MATCH(J66,Months,0),2),1),"")</f>
        <v/>
      </c>
      <c r="M66" s="321"/>
      <c r="N66" s="419" t="str">
        <f>IF(M66&lt;&gt;0,IF(AND(K66="yes",M66="Monthly")=TRUE,CHOOSE(R66,"January","February","March","April","May","June","July","August","September","October","November","December"),RIGHT(AB66,3)),"")</f>
        <v/>
      </c>
      <c r="O66" s="537" t="str">
        <f>IF('Loan Entry'!$M66&gt;0,'Loan Entry'!$I66*'Loan Entry'!$Q66,"")</f>
        <v/>
      </c>
      <c r="P66" s="537" t="str">
        <f>IF(M66&gt;0,(H66-(G66-1))*IF(M66="Monthly",12,IF(M66="Quarterly",4,IF(M66="Semi-Annual",2,1))),"")</f>
        <v/>
      </c>
      <c r="Q66" s="537" t="str">
        <f>IF(M66&gt;0,IF(M66="Monthly",12,IF(M66="Quarterly",4,IF(M66="Semi-Annual",2,1))),"")</f>
        <v/>
      </c>
      <c r="R66" s="537" t="str">
        <f>IF(M66&gt;0,IF(I66&lt;1,IF(M66="Annual",1,(YEARFRAC(L66,A66,))*IF(M66="Monthly",O66,IF(M66="quarterly",O66*3,IF(M66="semi-annual",O66*2,12)))),IF(M66="Annual",1,(YEARFRAC(L66,A66,))*12)),"")</f>
        <v/>
      </c>
      <c r="S66" s="537">
        <f>IF(M66&gt;0,INDEX(Inputs!$J$26:$K$37,MATCH('Loan Entry'!N66,Inputs!$J$26:$J$37,0),2)/12,0)</f>
        <v>0</v>
      </c>
      <c r="T66" s="537" t="str">
        <f>IF(M66&lt;&gt;0,IF(R66&gt;12,12,ROUNDUP(IF(M66="Monthly",12*(R66/Q66),IF(M66="Quarterly",((R66/12)*Q66),IF(M66="Semi-Annual",IF(((R66/12)*Q66)&gt;1,2,1),1))),0)),"")</f>
        <v/>
      </c>
      <c r="U66" s="537" t="str">
        <f>IF(M66&gt;0,T66/Q66,"")</f>
        <v/>
      </c>
      <c r="V66" s="537" t="str">
        <f>IF('Loan Entry'!$M66&gt;0,IF(U66=1,X66/T66,(X66/T66)),"")</f>
        <v/>
      </c>
      <c r="W66" s="537" t="str">
        <f>IF('Loan Entry'!$M66&gt;0,IF(U66=1,Y66/T66,U66*(Y66/T66)),"")</f>
        <v/>
      </c>
      <c r="X66" s="537" t="str">
        <f>IF(E66&gt;0,IF('Loan Entry'!$M66&lt;&gt;0,CUMPRINC((365/360)*E66/Q66,O66,F66,1,T66,0)*-1,),'Loan Entry'!$AC66)</f>
        <v/>
      </c>
      <c r="Y66" s="537">
        <f>IF(E66&gt;0,IF('Loan Entry'!$M66&lt;&gt;0,CUMIPMT(((365/360)*E66)/Q66,O66,F66,1,T66,0)*-1,),0)</f>
        <v>0</v>
      </c>
      <c r="Z66" s="537">
        <f>IF(ISERROR(S66*IF(E66&gt;0,IF('Loan Entry'!$M66&lt;&gt;0,CUMIPMT(((365/360)*E66)/Q66,O66,F66,1,T66,0)*-1,),0))=FALSE,S66*IF(E66&gt;0,IF('Loan Entry'!$M66&lt;&gt;0,CUMIPMT(((365/360)*E66)/Q66,O66,F66,1,T66,0)*-1,),0),0)</f>
        <v>0</v>
      </c>
      <c r="AA66" s="537">
        <f>IF(ISERROR(S66*IF(E66&gt;0,IF('Loan Entry'!$M66&lt;&gt;0,CUMIPMT(((365/360)*E66)/Q66,O66-T66,F66,1+T66,T66+T66,0)*-1,),0))=FALSE,S66*IF(E66&gt;0,IF('Loan Entry'!$M66&lt;&gt;0,CUMIPMT(((365/360)*E66)/Q66,O66-T66,F66,1+T66,T66+T66,0)*-1,),0),0)</f>
        <v>0</v>
      </c>
      <c r="AB66" s="537" t="str">
        <f>IF(M66&lt;&gt;0,IF(K66="no",IF(M66="annual",INDEX(Inputs!$C$4:$E$15,MATCH('Loan Entry'!J66,Months,0),3),IF(M66="semi-annual",IF(T66=2,CONCATENATE(INDEX(Inputs!$C$4:$E$15,MATCH('Loan Entry'!J66,Months,0),3),",",INDEX(Inputs!$C$4:$E$15,MATCH(MONTH(L66+190),Inputs!$D$4:$D$15,0),3)),INDEX(Inputs!$C$4:$E$15,MATCH('Loan Entry'!J66,Months,0),3)),IF(M66="Quarterly",IF(T66=4,CONCATENATE(INDEX(Inputs!$C$4:$E$15,MATCH('Loan Entry'!J66,Months,0),3),",",INDEX(Inputs!$C$4:$E$15,MATCH(MONTH(L66+95),Inputs!$D$4:$D$15,0),3),",",INDEX(Inputs!$C$4:$E$15,MATCH(MONTH(L66+190),Inputs!$D$4:$D$15,0),3),",",INDEX(Inputs!$C$4:$E$15,MATCH(MONTH(L66+275),Inputs!$D$4:$D$15,0),3)),IF(T66=3,CONCATENATE(INDEX(Inputs!$C$4:$E$15,MATCH('Loan Entry'!J66,Months,0),3),",",INDEX(Inputs!$C$4:$E$15,MATCH(MONTH(L66+95),Inputs!$D$4:$D$15,0),3),",",INDEX(Inputs!$C$4:$E$15,MATCH(MONTH(L66+190),Inputs!$D$4:$D$15,0),3)),IF(T66=2,CONCATENATE(INDEX(Inputs!$C$4:$E$15,MATCH('Loan Entry'!J66,Months,0),3),",",INDEX(Inputs!$C$4:$E$15,MATCH(MONTH(L66+95),Inputs!$D$4:$D$15,0),3)),INDEX(Inputs!$C$4:$E$15,MATCH('Loan Entry'!J66,Months,0),3)))),INDEX(Inputs!$C$4:$F$15,MATCH('Loan Entry'!J66,Months,0),4)))),IF(M66="annual",INDEX(Inputs!$C$4:$E$15,MATCH('Loan Entry'!J66,Months,0),3),IF(M66="semi-annual",IF(T66=2,CONCATENATE(INDEX(Inputs!$C$4:$E$15,MATCH('Loan Entry'!J66,Months,0),3),",",INDEX(Inputs!$C$4:$E$15,MATCH(MONTH(L66+190),Inputs!$D$4:$D$15,0),3)),INDEX(Inputs!$C$4:$E$15,MATCH('Loan Entry'!J66,Months,0),3)),IF(M66="Quarterly",IF(T66=4,CONCATENATE(INDEX(Inputs!$C$4:$E$15,MATCH('Loan Entry'!J66,Months,0),3),",",INDEX(Inputs!$C$4:$E$15,MATCH(MONTH(L66+95),Inputs!$D$4:$D$15,0),3),",",INDEX(Inputs!$C$4:$E$15,MATCH(MONTH(L66+190),Inputs!$D$4:$D$15,0),3),",",INDEX(Inputs!$C$4:$E$15,MATCH(MONTH(L66+275),Inputs!$D$4:$D$15,0),3)),IF(T66=3,CONCATENATE(INDEX(Inputs!$C$4:$E$15,MATCH('Loan Entry'!J66,Months,0),3),",",INDEX(Inputs!$C$4:$E$15,MATCH(MONTH(L66+95),Inputs!$D$4:$D$15,0),3),",",INDEX(Inputs!$C$4:$E$15,MATCH(MONTH(L66+190),Inputs!$D$4:$D$15,0),3)),IF(T66=2,CONCATENATE(INDEX(Inputs!$C$4:$E$15,MATCH('Loan Entry'!J66,Months,0),3),",",INDEX(Inputs!$C$4:$E$15,MATCH(MONTH(L66+95),Inputs!$D$4:$D$15,0),3)),INDEX(Inputs!$C$4:$G$15,MATCH('Loan Entry'!J66,Months,0),3)))),INDEX(Inputs!$C$4:$G$15,MATCH('Loan Entry'!N66,Months,0),5))))),"")</f>
        <v/>
      </c>
      <c r="AC66" s="844" t="str">
        <f>IF('Loan Entry'!$M66&gt;0,PMT((365/360)*'Loan Entry'!$E66/'Loan Entry'!$Q66,'Loan Entry'!$O66,'Loan Entry'!$F66*-1)*MIN('Loan Entry'!$Q66,O66),"")</f>
        <v/>
      </c>
      <c r="AD66" s="845" t="str">
        <f>IF(F66&gt;0,IF('Loan Entry'!$M66&lt;&gt;0,IF(U66=1,X66,IF(E66=0,U66*X66,X66)),'Loan Entry'!$AC66),"")</f>
        <v/>
      </c>
      <c r="AE66" s="849" t="str">
        <f>IF('Loan Entry'!$M66&gt;0,'Loan Entry'!$F66-'Loan Entry'!$AD66,"")</f>
        <v/>
      </c>
      <c r="AF66" s="595" t="str">
        <f>IF(AE66&gt;0,AC66,0)</f>
        <v/>
      </c>
      <c r="AG66" s="595"/>
      <c r="AH66" s="611" t="str">
        <f>IF(AE66&lt;&gt;0,IF(AE66&lt;AD66,AE66,IF(E66&gt;0,IF('Loan Entry'!$M66&lt;&gt;0,CUMPRINC(E66/Q66,(O66-T66),AE66,1,T66,0)*-1,),'Loan Entry'!$AC66)),0)</f>
        <v/>
      </c>
      <c r="AI66" s="611">
        <f>IF(M66&gt;0,AE66-AH66,0)</f>
        <v>0</v>
      </c>
    </row>
    <row r="67" spans="1:35" ht="24.95" customHeight="1" x14ac:dyDescent="0.2">
      <c r="A67" s="429" t="str">
        <f>IF('Loan Entry'!$M74&gt;0,DATE((G74+1),1,1),"")</f>
        <v/>
      </c>
      <c r="B67" s="1267" t="str">
        <f>CONCATENATE("Sub-Total ",B61)</f>
        <v>Sub-Total Personal Loans</v>
      </c>
      <c r="C67" s="1267"/>
      <c r="D67" s="1267"/>
      <c r="E67" s="1267"/>
      <c r="F67" s="1267"/>
      <c r="G67" s="1267"/>
      <c r="H67" s="1267"/>
      <c r="I67" s="1267"/>
      <c r="J67" s="1267"/>
      <c r="K67" s="1267"/>
      <c r="L67" s="1267"/>
      <c r="M67" s="1267"/>
      <c r="N67" s="1267"/>
      <c r="O67" s="1267"/>
      <c r="P67" s="1267"/>
      <c r="Q67" s="1267"/>
      <c r="R67" s="1267"/>
      <c r="S67" s="1267"/>
      <c r="T67" s="1267"/>
      <c r="U67" s="1267"/>
      <c r="V67" s="1267"/>
      <c r="W67" s="1267"/>
      <c r="X67" s="1267"/>
      <c r="Y67" s="1267"/>
      <c r="Z67" s="1267"/>
      <c r="AA67" s="1267"/>
      <c r="AB67" s="1267"/>
      <c r="AC67" s="1267"/>
      <c r="AD67" s="260">
        <f>SUM('Loan Entry'!$AD$63:$AD$66)</f>
        <v>0</v>
      </c>
      <c r="AE67" s="260">
        <f>SUM('Loan Entry'!$AE$63:$AE$66)</f>
        <v>0</v>
      </c>
      <c r="AH67" s="611">
        <f>SUM(AH63:AH66)</f>
        <v>0</v>
      </c>
      <c r="AI67" s="611">
        <f>SUM(AI63:AI66)</f>
        <v>0</v>
      </c>
    </row>
    <row r="68" spans="1:35" ht="24.95" customHeight="1" x14ac:dyDescent="0.2">
      <c r="AH68" s="611"/>
      <c r="AI68" s="611"/>
    </row>
    <row r="69" spans="1:35" ht="24.95" customHeight="1" x14ac:dyDescent="0.2">
      <c r="B69" s="1268" t="s">
        <v>200</v>
      </c>
      <c r="C69" s="1268"/>
      <c r="D69" s="1268"/>
      <c r="E69" s="1268"/>
      <c r="F69" s="1268"/>
      <c r="G69" s="1268"/>
      <c r="H69" s="1268"/>
      <c r="I69" s="1268"/>
      <c r="J69" s="1268"/>
      <c r="K69" s="1268"/>
      <c r="L69" s="1268"/>
      <c r="M69" s="1268"/>
      <c r="N69" s="1268"/>
      <c r="O69" s="1268"/>
      <c r="P69" s="1268"/>
      <c r="Q69" s="1268"/>
      <c r="R69" s="1268"/>
      <c r="S69" s="1268"/>
      <c r="T69" s="1268"/>
      <c r="U69" s="1268"/>
      <c r="V69" s="1268"/>
      <c r="W69" s="1268"/>
      <c r="X69" s="1268"/>
      <c r="Y69" s="1268"/>
      <c r="Z69" s="1268"/>
      <c r="AA69" s="1268"/>
      <c r="AB69" s="1268"/>
      <c r="AC69" s="1268"/>
      <c r="AD69" s="1268"/>
      <c r="AE69" s="1268"/>
      <c r="AH69" s="611"/>
      <c r="AI69" s="611"/>
    </row>
    <row r="70" spans="1:35" ht="24.95" customHeight="1" thickBot="1" x14ac:dyDescent="0.25">
      <c r="B70" s="451" t="s">
        <v>90</v>
      </c>
      <c r="C70" s="452" t="s">
        <v>91</v>
      </c>
      <c r="D70" s="448" t="s">
        <v>172</v>
      </c>
      <c r="E70" s="453" t="s">
        <v>92</v>
      </c>
      <c r="F70" s="449" t="s">
        <v>114</v>
      </c>
      <c r="G70" s="449" t="s">
        <v>96</v>
      </c>
      <c r="H70" s="449" t="s">
        <v>223</v>
      </c>
      <c r="I70" s="454" t="s">
        <v>103</v>
      </c>
      <c r="J70" s="454" t="s">
        <v>178</v>
      </c>
      <c r="K70" s="526" t="s">
        <v>225</v>
      </c>
      <c r="L70" s="526" t="s">
        <v>228</v>
      </c>
      <c r="M70" s="449" t="s">
        <v>97</v>
      </c>
      <c r="N70" s="527" t="s">
        <v>226</v>
      </c>
      <c r="O70" s="527" t="s">
        <v>227</v>
      </c>
      <c r="P70" s="527" t="s">
        <v>224</v>
      </c>
      <c r="Q70" s="527" t="s">
        <v>106</v>
      </c>
      <c r="R70" s="527" t="s">
        <v>181</v>
      </c>
      <c r="S70" s="527" t="s">
        <v>421</v>
      </c>
      <c r="T70" s="527" t="s">
        <v>195</v>
      </c>
      <c r="U70" s="527" t="s">
        <v>201</v>
      </c>
      <c r="V70" s="527" t="s">
        <v>179</v>
      </c>
      <c r="W70" s="527" t="s">
        <v>180</v>
      </c>
      <c r="X70" s="527" t="s">
        <v>193</v>
      </c>
      <c r="Y70" s="527" t="s">
        <v>194</v>
      </c>
      <c r="Z70" s="527" t="s">
        <v>418</v>
      </c>
      <c r="AA70" s="527" t="s">
        <v>417</v>
      </c>
      <c r="AB70" s="527" t="s">
        <v>105</v>
      </c>
      <c r="AC70" s="454" t="s">
        <v>93</v>
      </c>
      <c r="AD70" s="454" t="s">
        <v>94</v>
      </c>
      <c r="AE70" s="454" t="s">
        <v>95</v>
      </c>
      <c r="AH70" s="611"/>
      <c r="AI70" s="611"/>
    </row>
    <row r="71" spans="1:35" ht="24.95" customHeight="1" thickTop="1" x14ac:dyDescent="0.2">
      <c r="A71" s="427" t="str">
        <f>IF('Loan Entry'!$M71&gt;0,DATE((G71+1),1,1),"")</f>
        <v/>
      </c>
      <c r="B71" s="314"/>
      <c r="C71" s="315"/>
      <c r="D71" s="860"/>
      <c r="E71" s="857"/>
      <c r="F71" s="316"/>
      <c r="G71" s="317"/>
      <c r="H71" s="418" t="str">
        <f>IF(I71&gt;0,ROUNDDOWN(Year+I71,0),"")</f>
        <v/>
      </c>
      <c r="I71" s="317"/>
      <c r="J71" s="317"/>
      <c r="K71" s="418" t="e">
        <f>IF(H71&gt;0,IF(H71-Year=0,"yes","no"),"")</f>
        <v>#VALUE!</v>
      </c>
      <c r="L71" s="418" t="str">
        <f>IF('Loan Entry'!$J71&gt;0,DATE(G71,INDEX(Inputs!$C$4:$D$15,MATCH(J71,Months,0),2),1),"")</f>
        <v/>
      </c>
      <c r="M71" s="317"/>
      <c r="N71" s="418" t="str">
        <f>IF(M71&lt;&gt;0,IF(AND(K71="yes",M71="Monthly")=TRUE,CHOOSE(R71,"January","February","March","April","May","June","July","August","September","October","November","December"),RIGHT(AB71,3)),"")</f>
        <v/>
      </c>
      <c r="O71" s="418" t="str">
        <f>IF('Loan Entry'!$M71&gt;0,'Loan Entry'!$I71*'Loan Entry'!$Q71,"")</f>
        <v/>
      </c>
      <c r="P71" s="418" t="str">
        <f>IF(M71&gt;0,(H71-(G71-1))*IF(M71="Monthly",12,IF(M71="Quarterly",4,IF(M71="Semi-Annual",2,1))),"")</f>
        <v/>
      </c>
      <c r="Q71" s="418" t="str">
        <f>IF(M71&gt;0,IF(M71="Monthly",12,IF(M71="Quarterly",4,IF(M71="Semi-Annual",2,1))),"")</f>
        <v/>
      </c>
      <c r="R71" s="418" t="str">
        <f>IF(M71&gt;0,IF(I71&lt;1,IF(M71="Annual",1,(YEARFRAC(L71,A71,))*IF(M71="Monthly",O71,IF(M71="quarterly",O71*3,IF(M71="semi-annual",O71*2,12)))),IF(M71="Annual",1,(YEARFRAC(L71,A71,))*12)),"")</f>
        <v/>
      </c>
      <c r="S71" s="418">
        <f>IF(M71&gt;0,INDEX(Inputs!$J$26:$K$37,MATCH('Loan Entry'!N71,Inputs!$J$26:$J$37,0),2)/12,0)</f>
        <v>0</v>
      </c>
      <c r="T71" s="418" t="str">
        <f>IF(M71&lt;&gt;0,IF(R71&gt;12,12,ROUNDUP(IF(M71="Monthly",12*(R71/Q71),IF(M71="Quarterly",((R71/12)*Q71),IF(M71="Semi-Annual",IF(((R71/12)*Q71)&gt;1,2,1),1))),0)),"")</f>
        <v/>
      </c>
      <c r="U71" s="418" t="str">
        <f>IF(M71&gt;0,T71/Q71,"")</f>
        <v/>
      </c>
      <c r="V71" s="418" t="str">
        <f>IF('Loan Entry'!$M71&gt;0,IF(U71=1,X71/T71,(X71/T71)),"")</f>
        <v/>
      </c>
      <c r="W71" s="418" t="str">
        <f>IF('Loan Entry'!$M71&gt;0,IF(U71=1,Y71/T71,U71*(Y71/T71)),"")</f>
        <v/>
      </c>
      <c r="X71" s="418" t="str">
        <f>IF(E71&gt;0,IF('Loan Entry'!$M71&lt;&gt;0,CUMPRINC((365/360)*E71/Q71,O71,F71,1,T71,0)*-1,),'Loan Entry'!$AC71)</f>
        <v/>
      </c>
      <c r="Y71" s="418">
        <f>IF(E71&gt;0,IF('Loan Entry'!$M71&lt;&gt;0,CUMIPMT(((365/360)*E71)/Q71,O71,F71,1,T71,0)*-1,),0)</f>
        <v>0</v>
      </c>
      <c r="Z71" s="418">
        <f>IF(ISERROR(S71*IF(E71&gt;0,IF('Loan Entry'!$M71&lt;&gt;0,CUMIPMT(((365/360)*E71)/Q71,O71,F71,1,T71,0)*-1,),0))=FALSE,S71*IF(E71&gt;0,IF('Loan Entry'!$M71&lt;&gt;0,CUMIPMT(((365/360)*E71)/Q71,O71,F71,1,T71,0)*-1,),0),0)</f>
        <v>0</v>
      </c>
      <c r="AA71" s="418">
        <f>IF(ISERROR(S71*IF(E71&gt;0,IF('Loan Entry'!$M71&lt;&gt;0,CUMIPMT(((365/360)*E71)/Q71,O71-T71,F71,1+T71,T71+T71,0)*-1,),0))=FALSE,S71*IF(E71&gt;0,IF('Loan Entry'!$M71&lt;&gt;0,CUMIPMT(((365/360)*E71)/Q71,O71-T71,F71,1+T71,T71+T71,0)*-1,),0),0)</f>
        <v>0</v>
      </c>
      <c r="AB71" s="418" t="str">
        <f>IF(M71&lt;&gt;0,IF(K71="no",IF(M71="annual",INDEX(Inputs!$C$4:$E$15,MATCH('Loan Entry'!J71,Months,0),3),IF(M71="semi-annual",IF(T71=2,CONCATENATE(INDEX(Inputs!$C$4:$E$15,MATCH('Loan Entry'!J71,Months,0),3),",",INDEX(Inputs!$C$4:$E$15,MATCH(MONTH(L71+190),Inputs!$D$4:$D$15,0),3)),INDEX(Inputs!$C$4:$E$15,MATCH('Loan Entry'!J71,Months,0),3)),IF(M71="Quarterly",IF(T71=4,CONCATENATE(INDEX(Inputs!$C$4:$E$15,MATCH('Loan Entry'!J71,Months,0),3),",",INDEX(Inputs!$C$4:$E$15,MATCH(MONTH(L71+95),Inputs!$D$4:$D$15,0),3),",",INDEX(Inputs!$C$4:$E$15,MATCH(MONTH(L71+190),Inputs!$D$4:$D$15,0),3),",",INDEX(Inputs!$C$4:$E$15,MATCH(MONTH(L71+275),Inputs!$D$4:$D$15,0),3)),IF(T71=3,CONCATENATE(INDEX(Inputs!$C$4:$E$15,MATCH('Loan Entry'!J71,Months,0),3),",",INDEX(Inputs!$C$4:$E$15,MATCH(MONTH(L71+95),Inputs!$D$4:$D$15,0),3),",",INDEX(Inputs!$C$4:$E$15,MATCH(MONTH(L71+190),Inputs!$D$4:$D$15,0),3)),IF(T71=2,CONCATENATE(INDEX(Inputs!$C$4:$E$15,MATCH('Loan Entry'!J71,Months,0),3),",",INDEX(Inputs!$C$4:$E$15,MATCH(MONTH(L71+95),Inputs!$D$4:$D$15,0),3)),INDEX(Inputs!$C$4:$E$15,MATCH('Loan Entry'!J71,Months,0),3)))),INDEX(Inputs!$C$4:$F$15,MATCH('Loan Entry'!J71,Months,0),4)))),IF(M71="annual",INDEX(Inputs!$C$4:$E$15,MATCH('Loan Entry'!J71,Months,0),3),IF(M71="semi-annual",IF(T71=2,CONCATENATE(INDEX(Inputs!$C$4:$E$15,MATCH('Loan Entry'!J71,Months,0),3),",",INDEX(Inputs!$C$4:$E$15,MATCH(MONTH(L71+190),Inputs!$D$4:$D$15,0),3)),INDEX(Inputs!$C$4:$E$15,MATCH('Loan Entry'!J71,Months,0),3)),IF(M71="Quarterly",IF(T71=4,CONCATENATE(INDEX(Inputs!$C$4:$E$15,MATCH('Loan Entry'!J71,Months,0),3),",",INDEX(Inputs!$C$4:$E$15,MATCH(MONTH(L71+95),Inputs!$D$4:$D$15,0),3),",",INDEX(Inputs!$C$4:$E$15,MATCH(MONTH(L71+190),Inputs!$D$4:$D$15,0),3),",",INDEX(Inputs!$C$4:$E$15,MATCH(MONTH(L71+275),Inputs!$D$4:$D$15,0),3)),IF(T71=3,CONCATENATE(INDEX(Inputs!$C$4:$E$15,MATCH('Loan Entry'!J71,Months,0),3),",",INDEX(Inputs!$C$4:$E$15,MATCH(MONTH(L71+95),Inputs!$D$4:$D$15,0),3),",",INDEX(Inputs!$C$4:$E$15,MATCH(MONTH(L71+190),Inputs!$D$4:$D$15,0),3)),IF(T71=2,CONCATENATE(INDEX(Inputs!$C$4:$E$15,MATCH('Loan Entry'!J71,Months,0),3),",",INDEX(Inputs!$C$4:$E$15,MATCH(MONTH(L71+95),Inputs!$D$4:$D$15,0),3)),INDEX(Inputs!$C$4:$G$15,MATCH('Loan Entry'!J71,Months,0),3)))),INDEX(Inputs!$C$4:$G$15,MATCH('Loan Entry'!N71,Months,0),5))))),"")</f>
        <v/>
      </c>
      <c r="AC71" s="842" t="str">
        <f>IF('Loan Entry'!$M71&gt;0,PMT((365/360)*'Loan Entry'!$E71/'Loan Entry'!$Q71,'Loan Entry'!$O71,'Loan Entry'!$F71*-1)*MIN('Loan Entry'!$Q71,O71),"")</f>
        <v/>
      </c>
      <c r="AD71" s="843" t="str">
        <f>IF(F71&gt;0,IF('Loan Entry'!$M71&lt;&gt;0,IF(U71=1,X71,IF(E71=0,U71*X71,X71)),'Loan Entry'!$AC71),"")</f>
        <v/>
      </c>
      <c r="AE71" s="848" t="str">
        <f>IF('Loan Entry'!$M71&gt;0,'Loan Entry'!$F71-'Loan Entry'!$AD71,"")</f>
        <v/>
      </c>
      <c r="AF71" s="595" t="str">
        <f>IF(AE71&gt;0,AC71,0)</f>
        <v/>
      </c>
      <c r="AG71" s="595"/>
      <c r="AH71" s="611" t="str">
        <f>IF(AE71&lt;&gt;0,IF(AE71&lt;AD71,AE71,IF(E71&gt;0,IF('Loan Entry'!$M71&lt;&gt;0,CUMPRINC(E71/Q71,(O71-T71),AE71,1,T71,0)*-1,),'Loan Entry'!$AC71)),0)</f>
        <v/>
      </c>
      <c r="AI71" s="611">
        <f>IF(M71&gt;0,AE71-AH71,0)</f>
        <v>0</v>
      </c>
    </row>
    <row r="72" spans="1:35" ht="24.95" customHeight="1" x14ac:dyDescent="0.2">
      <c r="A72" s="427" t="str">
        <f>IF('Loan Entry'!$M72&gt;0,DATE((G72+1),1,1),"")</f>
        <v/>
      </c>
      <c r="B72" s="318"/>
      <c r="C72" s="319"/>
      <c r="D72" s="861"/>
      <c r="E72" s="858"/>
      <c r="F72" s="320"/>
      <c r="G72" s="321"/>
      <c r="H72" s="419" t="str">
        <f>IF(I72&gt;0,ROUNDDOWN(Year+I72,0),"")</f>
        <v/>
      </c>
      <c r="I72" s="321"/>
      <c r="J72" s="321"/>
      <c r="K72" s="419" t="e">
        <f>IF(H72&gt;0,IF(H72-Year=0,"yes","no"),"")</f>
        <v>#VALUE!</v>
      </c>
      <c r="L72" s="419" t="str">
        <f>IF('Loan Entry'!$J72&gt;0,DATE(G72,INDEX(Inputs!$C$4:$D$15,MATCH(J72,Months,0),2),1),"")</f>
        <v/>
      </c>
      <c r="M72" s="321"/>
      <c r="N72" s="419" t="str">
        <f>IF(M72&lt;&gt;0,IF(AND(K72="yes",M72="Monthly")=TRUE,CHOOSE(R72,"January","February","March","April","May","June","July","August","September","October","November","December"),RIGHT(AB72,3)),"")</f>
        <v/>
      </c>
      <c r="O72" s="537" t="str">
        <f>IF('Loan Entry'!$M72&gt;0,'Loan Entry'!$I72*'Loan Entry'!$Q72,"")</f>
        <v/>
      </c>
      <c r="P72" s="537" t="str">
        <f>IF(M72&gt;0,(H72-(G72-1))*IF(M72="Monthly",12,IF(M72="Quarterly",4,IF(M72="Semi-Annual",2,1))),"")</f>
        <v/>
      </c>
      <c r="Q72" s="537" t="str">
        <f>IF(M72&gt;0,IF(M72="Monthly",12,IF(M72="Quarterly",4,IF(M72="Semi-Annual",2,1))),"")</f>
        <v/>
      </c>
      <c r="R72" s="537" t="str">
        <f>IF(M72&gt;0,IF(I72&lt;1,IF(M72="Annual",1,(YEARFRAC(L72,A72,))*IF(M72="Monthly",O72,IF(M72="quarterly",O72*3,IF(M72="semi-annual",O72*2,12)))),IF(M72="Annual",1,(YEARFRAC(L72,A72,))*12)),"")</f>
        <v/>
      </c>
      <c r="S72" s="537">
        <f>IF(M72&gt;0,INDEX(Inputs!$J$26:$K$37,MATCH('Loan Entry'!N72,Inputs!$J$26:$J$37,0),2)/12,0)</f>
        <v>0</v>
      </c>
      <c r="T72" s="537" t="str">
        <f>IF(M72&lt;&gt;0,IF(R72&gt;12,12,ROUNDUP(IF(M72="Monthly",12*(R72/Q72),IF(M72="Quarterly",((R72/12)*Q72),IF(M72="Semi-Annual",IF(((R72/12)*Q72)&gt;1,2,1),1))),0)),"")</f>
        <v/>
      </c>
      <c r="U72" s="537" t="str">
        <f>IF(M72&gt;0,T72/Q72,"")</f>
        <v/>
      </c>
      <c r="V72" s="537" t="str">
        <f>IF('Loan Entry'!$M72&gt;0,IF(U72=1,X72/T72,(X72/T72)),"")</f>
        <v/>
      </c>
      <c r="W72" s="537" t="str">
        <f>IF('Loan Entry'!$M72&gt;0,IF(U72=1,Y72/T72,U72*(Y72/T72)),"")</f>
        <v/>
      </c>
      <c r="X72" s="537" t="str">
        <f>IF(E72&gt;0,IF('Loan Entry'!$M72&lt;&gt;0,CUMPRINC((365/360)*E72/Q72,O72,F72,1,T72,0)*-1,),'Loan Entry'!$AC72)</f>
        <v/>
      </c>
      <c r="Y72" s="537">
        <f>IF(E72&gt;0,IF('Loan Entry'!$M72&lt;&gt;0,CUMIPMT(((365/360)*E72)/Q72,O72,F72,1,T72,0)*-1,),0)</f>
        <v>0</v>
      </c>
      <c r="Z72" s="537">
        <f>IF(ISERROR(S72*IF(E72&gt;0,IF('Loan Entry'!$M72&lt;&gt;0,CUMIPMT(((365/360)*E72)/Q72,O72,F72,1,T72,0)*-1,),0))=FALSE,S72*IF(E72&gt;0,IF('Loan Entry'!$M72&lt;&gt;0,CUMIPMT(((365/360)*E72)/Q72,O72,F72,1,T72,0)*-1,),0),0)</f>
        <v>0</v>
      </c>
      <c r="AA72" s="537">
        <f>IF(ISERROR(S72*IF(E72&gt;0,IF('Loan Entry'!$M72&lt;&gt;0,CUMIPMT(((365/360)*E72)/Q72,O72-T72,F72,1+T72,T72+T72,0)*-1,),0))=FALSE,S72*IF(E72&gt;0,IF('Loan Entry'!$M72&lt;&gt;0,CUMIPMT(((365/360)*E72)/Q72,O72-T72,F72,1+T72,T72+T72,0)*-1,),0),0)</f>
        <v>0</v>
      </c>
      <c r="AB72" s="537" t="str">
        <f>IF(M72&lt;&gt;0,IF(K72="no",IF(M72="annual",INDEX(Inputs!$C$4:$E$15,MATCH('Loan Entry'!J72,Months,0),3),IF(M72="semi-annual",IF(T72=2,CONCATENATE(INDEX(Inputs!$C$4:$E$15,MATCH('Loan Entry'!J72,Months,0),3),",",INDEX(Inputs!$C$4:$E$15,MATCH(MONTH(L72+190),Inputs!$D$4:$D$15,0),3)),INDEX(Inputs!$C$4:$E$15,MATCH('Loan Entry'!J72,Months,0),3)),IF(M72="Quarterly",IF(T72=4,CONCATENATE(INDEX(Inputs!$C$4:$E$15,MATCH('Loan Entry'!J72,Months,0),3),",",INDEX(Inputs!$C$4:$E$15,MATCH(MONTH(L72+95),Inputs!$D$4:$D$15,0),3),",",INDEX(Inputs!$C$4:$E$15,MATCH(MONTH(L72+190),Inputs!$D$4:$D$15,0),3),",",INDEX(Inputs!$C$4:$E$15,MATCH(MONTH(L72+275),Inputs!$D$4:$D$15,0),3)),IF(T72=3,CONCATENATE(INDEX(Inputs!$C$4:$E$15,MATCH('Loan Entry'!J72,Months,0),3),",",INDEX(Inputs!$C$4:$E$15,MATCH(MONTH(L72+95),Inputs!$D$4:$D$15,0),3),",",INDEX(Inputs!$C$4:$E$15,MATCH(MONTH(L72+190),Inputs!$D$4:$D$15,0),3)),IF(T72=2,CONCATENATE(INDEX(Inputs!$C$4:$E$15,MATCH('Loan Entry'!J72,Months,0),3),",",INDEX(Inputs!$C$4:$E$15,MATCH(MONTH(L72+95),Inputs!$D$4:$D$15,0),3)),INDEX(Inputs!$C$4:$E$15,MATCH('Loan Entry'!J72,Months,0),3)))),INDEX(Inputs!$C$4:$F$15,MATCH('Loan Entry'!J72,Months,0),4)))),IF(M72="annual",INDEX(Inputs!$C$4:$E$15,MATCH('Loan Entry'!J72,Months,0),3),IF(M72="semi-annual",IF(T72=2,CONCATENATE(INDEX(Inputs!$C$4:$E$15,MATCH('Loan Entry'!J72,Months,0),3),",",INDEX(Inputs!$C$4:$E$15,MATCH(MONTH(L72+190),Inputs!$D$4:$D$15,0),3)),INDEX(Inputs!$C$4:$E$15,MATCH('Loan Entry'!J72,Months,0),3)),IF(M72="Quarterly",IF(T72=4,CONCATENATE(INDEX(Inputs!$C$4:$E$15,MATCH('Loan Entry'!J72,Months,0),3),",",INDEX(Inputs!$C$4:$E$15,MATCH(MONTH(L72+95),Inputs!$D$4:$D$15,0),3),",",INDEX(Inputs!$C$4:$E$15,MATCH(MONTH(L72+190),Inputs!$D$4:$D$15,0),3),",",INDEX(Inputs!$C$4:$E$15,MATCH(MONTH(L72+275),Inputs!$D$4:$D$15,0),3)),IF(T72=3,CONCATENATE(INDEX(Inputs!$C$4:$E$15,MATCH('Loan Entry'!J72,Months,0),3),",",INDEX(Inputs!$C$4:$E$15,MATCH(MONTH(L72+95),Inputs!$D$4:$D$15,0),3),",",INDEX(Inputs!$C$4:$E$15,MATCH(MONTH(L72+190),Inputs!$D$4:$D$15,0),3)),IF(T72=2,CONCATENATE(INDEX(Inputs!$C$4:$E$15,MATCH('Loan Entry'!J72,Months,0),3),",",INDEX(Inputs!$C$4:$E$15,MATCH(MONTH(L72+95),Inputs!$D$4:$D$15,0),3)),INDEX(Inputs!$C$4:$G$15,MATCH('Loan Entry'!J72,Months,0),3)))),INDEX(Inputs!$C$4:$G$15,MATCH('Loan Entry'!N72,Months,0),5))))),"")</f>
        <v/>
      </c>
      <c r="AC72" s="844" t="str">
        <f>IF('Loan Entry'!$M72&gt;0,PMT((365/360)*'Loan Entry'!$E72/'Loan Entry'!$Q72,'Loan Entry'!$O72,'Loan Entry'!$F72*-1)*MIN('Loan Entry'!$Q72,O72),"")</f>
        <v/>
      </c>
      <c r="AD72" s="845" t="str">
        <f>IF(F72&gt;0,IF('Loan Entry'!$M72&lt;&gt;0,IF(U72=1,X72,IF(E72=0,U72*X72,X72)),'Loan Entry'!$AC72),"")</f>
        <v/>
      </c>
      <c r="AE72" s="849" t="str">
        <f>IF('Loan Entry'!$M72&gt;0,'Loan Entry'!$F72-'Loan Entry'!$AD72,"")</f>
        <v/>
      </c>
      <c r="AF72" s="595" t="str">
        <f>IF(AE72&gt;0,AC72,0)</f>
        <v/>
      </c>
      <c r="AG72" s="595"/>
      <c r="AH72" s="611" t="str">
        <f>IF(AE72&lt;&gt;0,IF(AE72&lt;AD72,AE72,IF(E72&gt;0,IF('Loan Entry'!$M72&lt;&gt;0,CUMPRINC(E72/Q72,(O72-T72),AE72,1,T72,0)*-1,),'Loan Entry'!$AC72)),0)</f>
        <v/>
      </c>
      <c r="AI72" s="611">
        <f>IF(M72&gt;0,AE72-AH72,0)</f>
        <v>0</v>
      </c>
    </row>
    <row r="73" spans="1:35" ht="24.95" customHeight="1" x14ac:dyDescent="0.2">
      <c r="A73" s="427" t="str">
        <f>IF('Loan Entry'!$M73&gt;0,DATE((G73+1),1,1),"")</f>
        <v/>
      </c>
      <c r="B73" s="322"/>
      <c r="C73" s="323"/>
      <c r="D73" s="862"/>
      <c r="E73" s="859"/>
      <c r="F73" s="324"/>
      <c r="G73" s="325"/>
      <c r="H73" s="420" t="str">
        <f>IF(I73&gt;0,ROUNDDOWN(Year+I73,0),"")</f>
        <v/>
      </c>
      <c r="I73" s="325"/>
      <c r="J73" s="325"/>
      <c r="K73" s="420" t="e">
        <f>IF(H73&gt;0,IF(H73-Year=0,"yes","no"),"")</f>
        <v>#VALUE!</v>
      </c>
      <c r="L73" s="420" t="str">
        <f>IF('Loan Entry'!$J73&gt;0,DATE(G73,INDEX(Inputs!$C$4:$D$15,MATCH(J73,Months,0),2),1),"")</f>
        <v/>
      </c>
      <c r="M73" s="325"/>
      <c r="N73" s="420" t="str">
        <f>IF(M73&lt;&gt;0,IF(AND(K73="yes",M73="Monthly")=TRUE,CHOOSE(R73,"January","February","March","April","May","June","July","August","September","October","November","December"),RIGHT(AB73,3)),"")</f>
        <v/>
      </c>
      <c r="O73" s="539" t="str">
        <f>IF('Loan Entry'!$M73&gt;0,'Loan Entry'!$I73*'Loan Entry'!$Q73,"")</f>
        <v/>
      </c>
      <c r="P73" s="539" t="str">
        <f>IF(M73&gt;0,(H73-(G73-1))*IF(M73="Monthly",12,IF(M73="Quarterly",4,IF(M73="Semi-Annual",2,1))),"")</f>
        <v/>
      </c>
      <c r="Q73" s="539" t="str">
        <f>IF(M73&gt;0,IF(M73="Monthly",12,IF(M73="Quarterly",4,IF(M73="Semi-Annual",2,1))),"")</f>
        <v/>
      </c>
      <c r="R73" s="539" t="str">
        <f>IF(M73&gt;0,IF(I73&lt;1,IF(M73="Annual",1,(YEARFRAC(L73,A73,))*IF(M73="Monthly",O73,IF(M73="quarterly",O73*3,IF(M73="semi-annual",O73*2,12)))),IF(M73="Annual",1,(YEARFRAC(L73,A73,))*12)),"")</f>
        <v/>
      </c>
      <c r="S73" s="539">
        <f>IF(M73&gt;0,INDEX(Inputs!$J$26:$K$37,MATCH('Loan Entry'!N73,Inputs!$J$26:$J$37,0),2)/12,0)</f>
        <v>0</v>
      </c>
      <c r="T73" s="539" t="str">
        <f>IF(M73&lt;&gt;0,IF(R73&gt;12,12,ROUNDUP(IF(M73="Monthly",12*(R73/Q73),IF(M73="Quarterly",((R73/12)*Q73),IF(M73="Semi-Annual",IF(((R73/12)*Q73)&gt;1,2,1),1))),0)),"")</f>
        <v/>
      </c>
      <c r="U73" s="539" t="str">
        <f>IF(M73&gt;0,T73/Q73,"")</f>
        <v/>
      </c>
      <c r="V73" s="539" t="str">
        <f>IF('Loan Entry'!$M73&gt;0,IF(U73=1,X73/T73,(X73/T73)),"")</f>
        <v/>
      </c>
      <c r="W73" s="539" t="str">
        <f>IF('Loan Entry'!$M73&gt;0,IF(U73=1,Y73/T73,U73*(Y73/T73)),"")</f>
        <v/>
      </c>
      <c r="X73" s="539" t="str">
        <f>IF(E73&gt;0,IF('Loan Entry'!$M73&lt;&gt;0,CUMPRINC((365/360)*E73/Q73,O73,F73,1,T73,0)*-1,),'Loan Entry'!$AC73)</f>
        <v/>
      </c>
      <c r="Y73" s="539">
        <f>IF(E73&gt;0,IF('Loan Entry'!$M73&lt;&gt;0,CUMIPMT(((365/360)*E73)/Q73,O73,F73,1,T73,0)*-1,),0)</f>
        <v>0</v>
      </c>
      <c r="Z73" s="539">
        <f>IF(ISERROR(S73*IF(E73&gt;0,IF('Loan Entry'!$M73&lt;&gt;0,CUMIPMT(((365/360)*E73)/Q73,O73,F73,1,T73,0)*-1,),0))=FALSE,S73*IF(E73&gt;0,IF('Loan Entry'!$M73&lt;&gt;0,CUMIPMT(((365/360)*E73)/Q73,O73,F73,1,T73,0)*-1,),0),0)</f>
        <v>0</v>
      </c>
      <c r="AA73" s="539">
        <f>IF(ISERROR(S73*IF(E73&gt;0,IF('Loan Entry'!$M73&lt;&gt;0,CUMIPMT(((365/360)*E73)/Q73,O73-T73,F73,1+T73,T73+T73,0)*-1,),0))=FALSE,S73*IF(E73&gt;0,IF('Loan Entry'!$M73&lt;&gt;0,CUMIPMT(((365/360)*E73)/Q73,O73-T73,F73,1+T73,T73+T73,0)*-1,),0),0)</f>
        <v>0</v>
      </c>
      <c r="AB73" s="539" t="str">
        <f>IF(M73&lt;&gt;0,IF(K73="no",IF(M73="annual",INDEX(Inputs!$C$4:$E$15,MATCH('Loan Entry'!J73,Months,0),3),IF(M73="semi-annual",IF(T73=2,CONCATENATE(INDEX(Inputs!$C$4:$E$15,MATCH('Loan Entry'!J73,Months,0),3),",",INDEX(Inputs!$C$4:$E$15,MATCH(MONTH(L73+190),Inputs!$D$4:$D$15,0),3)),INDEX(Inputs!$C$4:$E$15,MATCH('Loan Entry'!J73,Months,0),3)),IF(M73="Quarterly",IF(T73=4,CONCATENATE(INDEX(Inputs!$C$4:$E$15,MATCH('Loan Entry'!J73,Months,0),3),",",INDEX(Inputs!$C$4:$E$15,MATCH(MONTH(L73+95),Inputs!$D$4:$D$15,0),3),",",INDEX(Inputs!$C$4:$E$15,MATCH(MONTH(L73+190),Inputs!$D$4:$D$15,0),3),",",INDEX(Inputs!$C$4:$E$15,MATCH(MONTH(L73+275),Inputs!$D$4:$D$15,0),3)),IF(T73=3,CONCATENATE(INDEX(Inputs!$C$4:$E$15,MATCH('Loan Entry'!J73,Months,0),3),",",INDEX(Inputs!$C$4:$E$15,MATCH(MONTH(L73+95),Inputs!$D$4:$D$15,0),3),",",INDEX(Inputs!$C$4:$E$15,MATCH(MONTH(L73+190),Inputs!$D$4:$D$15,0),3)),IF(T73=2,CONCATENATE(INDEX(Inputs!$C$4:$E$15,MATCH('Loan Entry'!J73,Months,0),3),",",INDEX(Inputs!$C$4:$E$15,MATCH(MONTH(L73+95),Inputs!$D$4:$D$15,0),3)),INDEX(Inputs!$C$4:$E$15,MATCH('Loan Entry'!J73,Months,0),3)))),INDEX(Inputs!$C$4:$F$15,MATCH('Loan Entry'!J73,Months,0),4)))),IF(M73="annual",INDEX(Inputs!$C$4:$E$15,MATCH('Loan Entry'!J73,Months,0),3),IF(M73="semi-annual",IF(T73=2,CONCATENATE(INDEX(Inputs!$C$4:$E$15,MATCH('Loan Entry'!J73,Months,0),3),",",INDEX(Inputs!$C$4:$E$15,MATCH(MONTH(L73+190),Inputs!$D$4:$D$15,0),3)),INDEX(Inputs!$C$4:$E$15,MATCH('Loan Entry'!J73,Months,0),3)),IF(M73="Quarterly",IF(T73=4,CONCATENATE(INDEX(Inputs!$C$4:$E$15,MATCH('Loan Entry'!J73,Months,0),3),",",INDEX(Inputs!$C$4:$E$15,MATCH(MONTH(L73+95),Inputs!$D$4:$D$15,0),3),",",INDEX(Inputs!$C$4:$E$15,MATCH(MONTH(L73+190),Inputs!$D$4:$D$15,0),3),",",INDEX(Inputs!$C$4:$E$15,MATCH(MONTH(L73+275),Inputs!$D$4:$D$15,0),3)),IF(T73=3,CONCATENATE(INDEX(Inputs!$C$4:$E$15,MATCH('Loan Entry'!J73,Months,0),3),",",INDEX(Inputs!$C$4:$E$15,MATCH(MONTH(L73+95),Inputs!$D$4:$D$15,0),3),",",INDEX(Inputs!$C$4:$E$15,MATCH(MONTH(L73+190),Inputs!$D$4:$D$15,0),3)),IF(T73=2,CONCATENATE(INDEX(Inputs!$C$4:$E$15,MATCH('Loan Entry'!J73,Months,0),3),",",INDEX(Inputs!$C$4:$E$15,MATCH(MONTH(L73+95),Inputs!$D$4:$D$15,0),3)),INDEX(Inputs!$C$4:$G$15,MATCH('Loan Entry'!J73,Months,0),3)))),INDEX(Inputs!$C$4:$G$15,MATCH('Loan Entry'!N73,Months,0),5))))),"")</f>
        <v/>
      </c>
      <c r="AC73" s="846" t="str">
        <f>IF('Loan Entry'!$M73&gt;0,PMT((365/360)*'Loan Entry'!$E73/'Loan Entry'!$Q73,'Loan Entry'!$O73,'Loan Entry'!$F73*-1)*MIN('Loan Entry'!$Q73,O73),"")</f>
        <v/>
      </c>
      <c r="AD73" s="847" t="str">
        <f>IF(F73&gt;0,IF('Loan Entry'!$M73&lt;&gt;0,IF(U73=1,X73,IF(E73=0,U73*X73,X73)),'Loan Entry'!$AC73),"")</f>
        <v/>
      </c>
      <c r="AE73" s="850" t="str">
        <f>IF('Loan Entry'!$M73&gt;0,'Loan Entry'!$F73-'Loan Entry'!$AD73,"")</f>
        <v/>
      </c>
      <c r="AF73" s="595" t="str">
        <f>IF(AE73&gt;0,AC73,0)</f>
        <v/>
      </c>
      <c r="AG73" s="595"/>
      <c r="AH73" s="611" t="str">
        <f>IF(AE73&lt;&gt;0,IF(AE73&lt;AD73,AE73,IF(E73&gt;0,IF('Loan Entry'!$M73&lt;&gt;0,CUMPRINC(E73/Q73,(O73-T73),AE73,1,T73,0)*-1,),'Loan Entry'!$AC73)),0)</f>
        <v/>
      </c>
      <c r="AI73" s="611">
        <f>IF(M73&gt;0,AE73-AH73,0)</f>
        <v>0</v>
      </c>
    </row>
    <row r="74" spans="1:35" ht="24.95" customHeight="1" x14ac:dyDescent="0.2">
      <c r="A74" s="427" t="str">
        <f>IF('Loan Entry'!$M74&gt;0,DATE((G74+1),1,1),"")</f>
        <v/>
      </c>
      <c r="B74" s="318"/>
      <c r="C74" s="319"/>
      <c r="D74" s="861"/>
      <c r="E74" s="858"/>
      <c r="F74" s="320"/>
      <c r="G74" s="321"/>
      <c r="H74" s="419" t="str">
        <f>IF(I74&gt;0,ROUNDDOWN(Year+I74,0),"")</f>
        <v/>
      </c>
      <c r="I74" s="321"/>
      <c r="J74" s="321"/>
      <c r="K74" s="419" t="e">
        <f>IF(H74&gt;0,IF(H74-Year=0,"yes","no"),"")</f>
        <v>#VALUE!</v>
      </c>
      <c r="L74" s="419" t="str">
        <f>IF('Loan Entry'!$J74&gt;0,DATE(G74,INDEX(Inputs!$C$4:$D$15,MATCH(J74,Months,0),2),1),"")</f>
        <v/>
      </c>
      <c r="M74" s="321"/>
      <c r="N74" s="419" t="str">
        <f>IF(M74&lt;&gt;0,IF(AND(K74="yes",M74="Monthly")=TRUE,CHOOSE(R74,"January","February","March","April","May","June","July","August","September","October","November","December"),RIGHT(AB74,3)),"")</f>
        <v/>
      </c>
      <c r="O74" s="537" t="str">
        <f>IF('Loan Entry'!$M74&gt;0,'Loan Entry'!$I74*'Loan Entry'!$Q74,"")</f>
        <v/>
      </c>
      <c r="P74" s="537" t="str">
        <f>IF(M74&gt;0,(H74-(G74-1))*IF(M74="Monthly",12,IF(M74="Quarterly",4,IF(M74="Semi-Annual",2,1))),"")</f>
        <v/>
      </c>
      <c r="Q74" s="537" t="str">
        <f>IF(M74&gt;0,IF(M74="Monthly",12,IF(M74="Quarterly",4,IF(M74="Semi-Annual",2,1))),"")</f>
        <v/>
      </c>
      <c r="R74" s="537" t="str">
        <f>IF(M74&gt;0,IF(I74&lt;1,IF(M74="Annual",1,(YEARFRAC(L74,A74,))*IF(M74="Monthly",O74,IF(M74="quarterly",O74*3,IF(M74="semi-annual",O74*2,12)))),IF(M74="Annual",1,(YEARFRAC(L74,A74,))*12)),"")</f>
        <v/>
      </c>
      <c r="S74" s="537">
        <f>IF(M74&gt;0,INDEX(Inputs!$J$26:$K$37,MATCH('Loan Entry'!N74,Inputs!$J$26:$J$37,0),2)/12,0)</f>
        <v>0</v>
      </c>
      <c r="T74" s="537" t="str">
        <f>IF(M74&lt;&gt;0,IF(R74&gt;12,12,ROUNDUP(IF(M74="Monthly",12*(R74/Q74),IF(M74="Quarterly",((R74/12)*Q74),IF(M74="Semi-Annual",IF(((R74/12)*Q74)&gt;1,2,1),1))),0)),"")</f>
        <v/>
      </c>
      <c r="U74" s="537" t="str">
        <f>IF(M74&gt;0,T74/Q74,"")</f>
        <v/>
      </c>
      <c r="V74" s="537" t="str">
        <f>IF('Loan Entry'!$M74&gt;0,IF(U74=1,X74/T74,(X74/T74)),"")</f>
        <v/>
      </c>
      <c r="W74" s="537" t="str">
        <f>IF('Loan Entry'!$M74&gt;0,IF(U74=1,Y74/T74,U74*(Y74/T74)),"")</f>
        <v/>
      </c>
      <c r="X74" s="537" t="str">
        <f>IF(E74&gt;0,IF('Loan Entry'!$M74&lt;&gt;0,CUMPRINC((365/360)*E74/Q74,O74,F74,1,T74,0)*-1,),'Loan Entry'!$AC74)</f>
        <v/>
      </c>
      <c r="Y74" s="537">
        <f>IF(E74&gt;0,IF('Loan Entry'!$M74&lt;&gt;0,CUMIPMT(((365/360)*E74)/Q74,O74,F74,1,T74,0)*-1,),0)</f>
        <v>0</v>
      </c>
      <c r="Z74" s="537">
        <f>IF(ISERROR(S74*IF(E74&gt;0,IF('Loan Entry'!$M74&lt;&gt;0,CUMIPMT(((365/360)*E74)/Q74,O74,F74,1,T74,0)*-1,),0))=FALSE,S74*IF(E74&gt;0,IF('Loan Entry'!$M74&lt;&gt;0,CUMIPMT(((365/360)*E74)/Q74,O74,F74,1,T74,0)*-1,),0),0)</f>
        <v>0</v>
      </c>
      <c r="AA74" s="537">
        <f>IF(ISERROR(S74*IF(E74&gt;0,IF('Loan Entry'!$M74&lt;&gt;0,CUMIPMT(((365/360)*E74)/Q74,O74-T74,F74,1+T74,T74+T74,0)*-1,),0))=FALSE,S74*IF(E74&gt;0,IF('Loan Entry'!$M74&lt;&gt;0,CUMIPMT(((365/360)*E74)/Q74,O74-T74,F74,1+T74,T74+T74,0)*-1,),0),0)</f>
        <v>0</v>
      </c>
      <c r="AB74" s="537" t="str">
        <f>IF(M74&lt;&gt;0,IF(K74="no",IF(M74="annual",INDEX(Inputs!$C$4:$E$15,MATCH('Loan Entry'!J74,Months,0),3),IF(M74="semi-annual",IF(T74=2,CONCATENATE(INDEX(Inputs!$C$4:$E$15,MATCH('Loan Entry'!J74,Months,0),3),",",INDEX(Inputs!$C$4:$E$15,MATCH(MONTH(L74+190),Inputs!$D$4:$D$15,0),3)),INDEX(Inputs!$C$4:$E$15,MATCH('Loan Entry'!J74,Months,0),3)),IF(M74="Quarterly",IF(T74=4,CONCATENATE(INDEX(Inputs!$C$4:$E$15,MATCH('Loan Entry'!J74,Months,0),3),",",INDEX(Inputs!$C$4:$E$15,MATCH(MONTH(L74+95),Inputs!$D$4:$D$15,0),3),",",INDEX(Inputs!$C$4:$E$15,MATCH(MONTH(L74+190),Inputs!$D$4:$D$15,0),3),",",INDEX(Inputs!$C$4:$E$15,MATCH(MONTH(L74+275),Inputs!$D$4:$D$15,0),3)),IF(T74=3,CONCATENATE(INDEX(Inputs!$C$4:$E$15,MATCH('Loan Entry'!J74,Months,0),3),",",INDEX(Inputs!$C$4:$E$15,MATCH(MONTH(L74+95),Inputs!$D$4:$D$15,0),3),",",INDEX(Inputs!$C$4:$E$15,MATCH(MONTH(L74+190),Inputs!$D$4:$D$15,0),3)),IF(T74=2,CONCATENATE(INDEX(Inputs!$C$4:$E$15,MATCH('Loan Entry'!J74,Months,0),3),",",INDEX(Inputs!$C$4:$E$15,MATCH(MONTH(L74+95),Inputs!$D$4:$D$15,0),3)),INDEX(Inputs!$C$4:$E$15,MATCH('Loan Entry'!J74,Months,0),3)))),INDEX(Inputs!$C$4:$F$15,MATCH('Loan Entry'!J74,Months,0),4)))),IF(M74="annual",INDEX(Inputs!$C$4:$E$15,MATCH('Loan Entry'!J74,Months,0),3),IF(M74="semi-annual",IF(T74=2,CONCATENATE(INDEX(Inputs!$C$4:$E$15,MATCH('Loan Entry'!J74,Months,0),3),",",INDEX(Inputs!$C$4:$E$15,MATCH(MONTH(L74+190),Inputs!$D$4:$D$15,0),3)),INDEX(Inputs!$C$4:$E$15,MATCH('Loan Entry'!J74,Months,0),3)),IF(M74="Quarterly",IF(T74=4,CONCATENATE(INDEX(Inputs!$C$4:$E$15,MATCH('Loan Entry'!J74,Months,0),3),",",INDEX(Inputs!$C$4:$E$15,MATCH(MONTH(L74+95),Inputs!$D$4:$D$15,0),3),",",INDEX(Inputs!$C$4:$E$15,MATCH(MONTH(L74+190),Inputs!$D$4:$D$15,0),3),",",INDEX(Inputs!$C$4:$E$15,MATCH(MONTH(L74+275),Inputs!$D$4:$D$15,0),3)),IF(T74=3,CONCATENATE(INDEX(Inputs!$C$4:$E$15,MATCH('Loan Entry'!J74,Months,0),3),",",INDEX(Inputs!$C$4:$E$15,MATCH(MONTH(L74+95),Inputs!$D$4:$D$15,0),3),",",INDEX(Inputs!$C$4:$E$15,MATCH(MONTH(L74+190),Inputs!$D$4:$D$15,0),3)),IF(T74=2,CONCATENATE(INDEX(Inputs!$C$4:$E$15,MATCH('Loan Entry'!J74,Months,0),3),",",INDEX(Inputs!$C$4:$E$15,MATCH(MONTH(L74+95),Inputs!$D$4:$D$15,0),3)),INDEX(Inputs!$C$4:$G$15,MATCH('Loan Entry'!J74,Months,0),3)))),INDEX(Inputs!$C$4:$G$15,MATCH('Loan Entry'!N74,Months,0),5))))),"")</f>
        <v/>
      </c>
      <c r="AC74" s="844" t="str">
        <f>IF('Loan Entry'!$M74&gt;0,PMT((365/360)*'Loan Entry'!$E74/'Loan Entry'!$Q74,'Loan Entry'!$O74,'Loan Entry'!$F74*-1)*MIN('Loan Entry'!$Q74,O74),"")</f>
        <v/>
      </c>
      <c r="AD74" s="845" t="str">
        <f>IF(F74&gt;0,IF('Loan Entry'!$M74&lt;&gt;0,IF(U74=1,X74,IF(E74=0,U74*X74,X74)),'Loan Entry'!$AC74),"")</f>
        <v/>
      </c>
      <c r="AE74" s="849" t="str">
        <f>IF('Loan Entry'!$M74&gt;0,'Loan Entry'!$F74-'Loan Entry'!$AD74,"")</f>
        <v/>
      </c>
      <c r="AF74" s="595" t="str">
        <f>IF(AE74&gt;0,AC74,0)</f>
        <v/>
      </c>
      <c r="AG74" s="595"/>
      <c r="AH74" s="611" t="str">
        <f>IF(AE74&lt;&gt;0,IF(AE74&lt;AD74,AE74,IF(E74&gt;0,IF('Loan Entry'!$M74&lt;&gt;0,CUMPRINC(E74/Q74,(O74-T74),AE74,1,T74,0)*-1,),'Loan Entry'!$AC74)),0)</f>
        <v/>
      </c>
      <c r="AI74" s="611">
        <f>IF(M74&gt;0,AE74-AH74,0)</f>
        <v>0</v>
      </c>
    </row>
    <row r="75" spans="1:35" ht="24.95" customHeight="1" x14ac:dyDescent="0.2">
      <c r="B75" s="1267" t="str">
        <f>CONCATENATE("Sub-Total ",B69)</f>
        <v>Sub-Total Mortgage/Personal Real Estate Loans</v>
      </c>
      <c r="C75" s="1267"/>
      <c r="D75" s="1267"/>
      <c r="E75" s="1267"/>
      <c r="F75" s="1267"/>
      <c r="G75" s="1267"/>
      <c r="H75" s="1267"/>
      <c r="I75" s="1267"/>
      <c r="J75" s="1267"/>
      <c r="K75" s="1267"/>
      <c r="L75" s="1267"/>
      <c r="M75" s="1267"/>
      <c r="N75" s="1267"/>
      <c r="O75" s="1267"/>
      <c r="P75" s="1267"/>
      <c r="Q75" s="1267"/>
      <c r="R75" s="1267"/>
      <c r="S75" s="1267"/>
      <c r="T75" s="1267"/>
      <c r="U75" s="1267"/>
      <c r="V75" s="1267"/>
      <c r="W75" s="1267"/>
      <c r="X75" s="1267"/>
      <c r="Y75" s="1267"/>
      <c r="Z75" s="1267"/>
      <c r="AA75" s="1267"/>
      <c r="AB75" s="1267"/>
      <c r="AC75" s="1267"/>
      <c r="AD75" s="260">
        <f>SUM('Loan Entry'!$AD$71:$AD$74)</f>
        <v>0</v>
      </c>
      <c r="AE75" s="260">
        <f>SUM('Loan Entry'!$AE$71:$AE$74)</f>
        <v>0</v>
      </c>
      <c r="AH75" s="611">
        <f>SUM(AH71:AH74)</f>
        <v>0</v>
      </c>
      <c r="AI75" s="611">
        <f>SUM(AI71:AI74)</f>
        <v>0</v>
      </c>
    </row>
    <row r="76" spans="1:35" ht="24.95" customHeight="1" x14ac:dyDescent="0.2">
      <c r="Z76" s="595">
        <f>SUM(Z63:Z66,Z71:Z74)</f>
        <v>0</v>
      </c>
      <c r="AA76" s="595">
        <f>SUM(AA63:AA66,AA71:AA74)</f>
        <v>0</v>
      </c>
    </row>
  </sheetData>
  <sheetProtection algorithmName="SHA-512" hashValue="LFi/3084l5tP/9bRpgSgBbFMVnSttoJw1AP+T3zrZQsMqUae+bgawAuDQlTM+PEqLdLX56ICfd1cXA1jqFRqbQ==" saltValue="ekSlpq6jRtaihWKeW8iP+g==" spinCount="100000" sheet="1" deleteRows="0"/>
  <mergeCells count="20">
    <mergeCell ref="B11:E11"/>
    <mergeCell ref="AC1:AC2"/>
    <mergeCell ref="AD1:AD2"/>
    <mergeCell ref="B3:F3"/>
    <mergeCell ref="B67:AC67"/>
    <mergeCell ref="B75:AC75"/>
    <mergeCell ref="B69:AE69"/>
    <mergeCell ref="B13:AE13"/>
    <mergeCell ref="B21:AE21"/>
    <mergeCell ref="B29:AE29"/>
    <mergeCell ref="B53:AE53"/>
    <mergeCell ref="B61:AE61"/>
    <mergeCell ref="B35:AC35"/>
    <mergeCell ref="B27:AC27"/>
    <mergeCell ref="B59:AC59"/>
    <mergeCell ref="B19:AC19"/>
    <mergeCell ref="B45:AE45"/>
    <mergeCell ref="B51:AC51"/>
    <mergeCell ref="B37:AE37"/>
    <mergeCell ref="B43:AC43"/>
  </mergeCells>
  <dataValidations count="9">
    <dataValidation type="list" allowBlank="1" showInputMessage="1" showErrorMessage="1" error="Please choose how often a payment is made" sqref="M71:N74 M23:N26 M31:N34 M55:N58 M63:N66 M5:N10 M15:M18 N16:N18 M47:N50 M39:N42" xr:uid="{00000000-0002-0000-0500-000000000000}">
      <formula1>LoanFreq</formula1>
    </dataValidation>
    <dataValidation type="list" allowBlank="1" showInputMessage="1" showErrorMessage="1" sqref="J5:K10 J15:J18 J31:J34 J55:J58 J63:J66 J71:J74 J23:J26 J47:J50 J39:J42" xr:uid="{00000000-0002-0000-0500-000001000000}">
      <formula1>Months</formula1>
    </dataValidation>
    <dataValidation type="list" allowBlank="1" showInputMessage="1" showErrorMessage="1" sqref="L6:L10" xr:uid="{00000000-0002-0000-0500-000002000000}">
      <formula1>"Yes,No"</formula1>
    </dataValidation>
    <dataValidation allowBlank="1" showInputMessage="1" showErrorMessage="1" error="Please choose how often a payment is made" sqref="N15" xr:uid="{00000000-0002-0000-0500-000003000000}"/>
    <dataValidation type="list" allowBlank="1" showInputMessage="1" showErrorMessage="1" errorTitle="Please enter description" error="Please enter a description for this loan." sqref="D71:D74" xr:uid="{00000000-0002-0000-0500-000004000000}">
      <formula1>"Personal-RE"</formula1>
    </dataValidation>
    <dataValidation type="list" allowBlank="1" showInputMessage="1" showErrorMessage="1" errorTitle="Please enter description" error="Please enter a description for this loan." sqref="D63:D66" xr:uid="{00000000-0002-0000-0500-000005000000}">
      <formula1>"Personal"</formula1>
    </dataValidation>
    <dataValidation allowBlank="1" showInputMessage="1" showErrorMessage="1" prompt="Since this is a loan that has an original term of 1 year, this value will be 1." sqref="I5:I10" xr:uid="{00000000-0002-0000-0500-000006000000}"/>
    <dataValidation type="list" allowBlank="1" showInputMessage="1" showErrorMessage="1" sqref="D15:D18 D5:D10 D23:D26 D31:D34 D39:D42 D47:D50 D55:D58" xr:uid="{00000000-0002-0000-0500-000007000000}">
      <formula1>"Ag Business,Direct Mkt"</formula1>
    </dataValidation>
    <dataValidation allowBlank="1" showInputMessage="1" showErrorMessage="1" prompt="Be sure to select the loan purpose. This will be the year that you enter in the Gen Info page." sqref="G5:G10" xr:uid="{00000000-0002-0000-0500-000008000000}"/>
  </dataValidations>
  <pageMargins left="0.7" right="0.7" top="0.75" bottom="0.75" header="0.3" footer="0.3"/>
  <pageSetup orientation="landscape"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8CC052"/>
  </sheetPr>
  <dimension ref="A1:K64"/>
  <sheetViews>
    <sheetView showGridLines="0" workbookViewId="0"/>
  </sheetViews>
  <sheetFormatPr defaultColWidth="9.140625" defaultRowHeight="12.75" x14ac:dyDescent="0.2"/>
  <cols>
    <col min="1" max="1" width="9.140625" style="96"/>
    <col min="2" max="2" width="32.42578125" style="96" bestFit="1" customWidth="1"/>
    <col min="3" max="3" width="12.85546875" style="96" bestFit="1" customWidth="1"/>
    <col min="4" max="4" width="12.7109375" style="96" customWidth="1"/>
    <col min="5" max="5" width="10.42578125" style="96" customWidth="1"/>
    <col min="6" max="6" width="11.28515625" style="96" customWidth="1"/>
    <col min="7" max="7" width="15.42578125" style="96" bestFit="1" customWidth="1"/>
    <col min="8" max="10" width="9.140625" style="96"/>
    <col min="11" max="11" width="5.7109375" style="96" customWidth="1"/>
    <col min="12" max="16384" width="9.140625" style="96"/>
  </cols>
  <sheetData>
    <row r="1" spans="1:7" ht="6.6" customHeight="1" x14ac:dyDescent="0.2">
      <c r="B1" s="1290" t="s">
        <v>84</v>
      </c>
      <c r="C1" s="1290"/>
    </row>
    <row r="2" spans="1:7" ht="15" x14ac:dyDescent="0.25">
      <c r="B2" s="1290"/>
      <c r="C2" s="1290"/>
      <c r="D2" s="151"/>
      <c r="E2" s="151"/>
      <c r="F2" s="151"/>
      <c r="G2" s="151"/>
    </row>
    <row r="3" spans="1:7" ht="14.25" x14ac:dyDescent="0.2">
      <c r="B3" s="1290"/>
      <c r="C3" s="1290"/>
      <c r="D3" s="1274" t="s">
        <v>515</v>
      </c>
      <c r="E3" s="1274"/>
      <c r="F3" s="1273">
        <f>GenInfoBSDate</f>
        <v>0</v>
      </c>
      <c r="G3" s="1273"/>
    </row>
    <row r="4" spans="1:7" ht="13.5" thickBot="1" x14ac:dyDescent="0.25">
      <c r="B4" s="1290"/>
      <c r="C4" s="1290"/>
      <c r="D4" s="1288" t="s">
        <v>85</v>
      </c>
      <c r="E4" s="1288"/>
      <c r="F4" s="1289">
        <f ca="1">GenDate</f>
        <v>44307</v>
      </c>
      <c r="G4" s="1289"/>
    </row>
    <row r="5" spans="1:7" ht="15.75" x14ac:dyDescent="0.25">
      <c r="B5" s="1293" t="s">
        <v>242</v>
      </c>
      <c r="C5" s="1294"/>
      <c r="D5" s="1294" t="s">
        <v>243</v>
      </c>
      <c r="E5" s="1294"/>
      <c r="F5" s="1294"/>
      <c r="G5" s="1295"/>
    </row>
    <row r="6" spans="1:7" ht="15" customHeight="1" x14ac:dyDescent="0.2">
      <c r="B6" s="1296" t="s">
        <v>160</v>
      </c>
      <c r="C6" s="1298" t="s">
        <v>74</v>
      </c>
      <c r="D6" s="1280" t="s">
        <v>161</v>
      </c>
      <c r="E6" s="1281"/>
      <c r="F6" s="1281"/>
      <c r="G6" s="1279" t="s">
        <v>76</v>
      </c>
    </row>
    <row r="7" spans="1:7" ht="6" customHeight="1" x14ac:dyDescent="0.2">
      <c r="B7" s="1297"/>
      <c r="C7" s="1277"/>
      <c r="D7" s="1282"/>
      <c r="E7" s="1283"/>
      <c r="F7" s="1283"/>
      <c r="G7" s="1278"/>
    </row>
    <row r="8" spans="1:7" x14ac:dyDescent="0.2">
      <c r="B8" s="117" t="str">
        <f>LEFT('Asset Entry'!A7,4)</f>
        <v>Cash</v>
      </c>
      <c r="C8" s="97">
        <f>CACashTot</f>
        <v>0</v>
      </c>
      <c r="D8" s="98" t="s">
        <v>207</v>
      </c>
      <c r="E8" s="99"/>
      <c r="F8" s="99"/>
      <c r="G8" s="118">
        <f>LoanCurrent</f>
        <v>0</v>
      </c>
    </row>
    <row r="9" spans="1:7" x14ac:dyDescent="0.2">
      <c r="B9" s="117" t="str">
        <f>'Asset Entry'!A35</f>
        <v>Pre-paid Expenses</v>
      </c>
      <c r="C9" s="100">
        <f>CAPrepaidTot</f>
        <v>0</v>
      </c>
      <c r="D9" s="98" t="s">
        <v>31</v>
      </c>
      <c r="E9" s="99"/>
      <c r="F9" s="99"/>
      <c r="G9" s="119">
        <f>CurPortLT</f>
        <v>0</v>
      </c>
    </row>
    <row r="10" spans="1:7" x14ac:dyDescent="0.2">
      <c r="A10" s="99"/>
      <c r="B10" s="546" t="str">
        <f>Inventory!A7</f>
        <v>Crop Inventory</v>
      </c>
      <c r="C10" s="100">
        <f>InvCropsEntry</f>
        <v>0</v>
      </c>
      <c r="D10" s="672" t="str">
        <f>'Liability Entry'!A14</f>
        <v>Business Credit Card Debt</v>
      </c>
      <c r="E10" s="99"/>
      <c r="F10" s="99"/>
      <c r="G10" s="119">
        <f>CLBizCCTot</f>
        <v>0</v>
      </c>
    </row>
    <row r="11" spans="1:7" x14ac:dyDescent="0.2">
      <c r="A11" s="99"/>
      <c r="B11" s="546" t="str">
        <f>Inventory!A18</f>
        <v>Livestock Held for Sale</v>
      </c>
      <c r="C11" s="100">
        <f>InvLivestockEntry</f>
        <v>0</v>
      </c>
      <c r="D11" s="672" t="str">
        <f>'Liability Entry'!A28</f>
        <v>Taxes &amp; Assessments Payable</v>
      </c>
      <c r="E11" s="99"/>
      <c r="F11" s="99"/>
      <c r="G11" s="119">
        <f>CLTaxesTot</f>
        <v>0</v>
      </c>
    </row>
    <row r="12" spans="1:7" x14ac:dyDescent="0.2">
      <c r="A12" s="99"/>
      <c r="B12" s="550" t="str">
        <f>LEFT(Inventory!A29,15)</f>
        <v>Other Inventory</v>
      </c>
      <c r="C12" s="100">
        <f>InvOtherEntry</f>
        <v>0</v>
      </c>
      <c r="D12" s="672" t="str">
        <f>'Liability Entry'!A21</f>
        <v>Accrued Interest</v>
      </c>
      <c r="E12" s="99"/>
      <c r="F12" s="99"/>
      <c r="G12" s="119">
        <f>CLBizAcrIntTot</f>
        <v>0</v>
      </c>
    </row>
    <row r="13" spans="1:7" x14ac:dyDescent="0.2">
      <c r="A13" s="99"/>
      <c r="B13" s="546" t="str">
        <f>'Asset Entry'!A14</f>
        <v>Due from Processors</v>
      </c>
      <c r="C13" s="100">
        <f>CADueProcTot</f>
        <v>0</v>
      </c>
      <c r="D13" s="672" t="str">
        <f>LEFT('Liability Entry'!A7,16)</f>
        <v>Accounts Payable</v>
      </c>
      <c r="E13" s="99"/>
      <c r="F13" s="99"/>
      <c r="G13" s="119">
        <f>CLAPTot</f>
        <v>0</v>
      </c>
    </row>
    <row r="14" spans="1:7" x14ac:dyDescent="0.2">
      <c r="B14" s="117" t="str">
        <f>'Asset Entry'!A21</f>
        <v>Other Business Accounts Receivables</v>
      </c>
      <c r="C14" s="100">
        <f>CAOthRecTot</f>
        <v>0</v>
      </c>
      <c r="G14" s="129"/>
    </row>
    <row r="15" spans="1:7" x14ac:dyDescent="0.2">
      <c r="B15" s="117" t="str">
        <f>'Asset Entry'!A28</f>
        <v>Business Loans Receivable</v>
      </c>
      <c r="C15" s="100">
        <f>CABusLoansRecTot</f>
        <v>0</v>
      </c>
      <c r="D15" s="98"/>
      <c r="E15" s="99"/>
      <c r="F15" s="99"/>
      <c r="G15" s="119"/>
    </row>
    <row r="16" spans="1:7" x14ac:dyDescent="0.2">
      <c r="B16" s="117" t="str">
        <f>'Asset Entry'!A42</f>
        <v>Other Current Assets</v>
      </c>
      <c r="C16" s="100">
        <f>CAOtherTot</f>
        <v>0</v>
      </c>
      <c r="D16" s="98" t="str">
        <f>'Liability Entry'!A35</f>
        <v>Other Current Liabilities</v>
      </c>
      <c r="E16" s="99"/>
      <c r="F16" s="99"/>
      <c r="G16" s="119">
        <f>CLOthCurTot</f>
        <v>0</v>
      </c>
    </row>
    <row r="17" spans="2:11" x14ac:dyDescent="0.2">
      <c r="B17" s="120" t="s">
        <v>162</v>
      </c>
      <c r="C17" s="101">
        <f>SUM(C8:C16)</f>
        <v>0</v>
      </c>
      <c r="D17" s="1291" t="s">
        <v>163</v>
      </c>
      <c r="E17" s="1292"/>
      <c r="F17" s="1292"/>
      <c r="G17" s="121">
        <f>SUM(G8:G13)</f>
        <v>0</v>
      </c>
    </row>
    <row r="18" spans="2:11" ht="15" customHeight="1" x14ac:dyDescent="0.2">
      <c r="B18" s="1299" t="s">
        <v>371</v>
      </c>
      <c r="C18" s="1277" t="s">
        <v>75</v>
      </c>
      <c r="D18" s="1282" t="s">
        <v>372</v>
      </c>
      <c r="E18" s="1283"/>
      <c r="F18" s="1283"/>
      <c r="G18" s="1278" t="s">
        <v>76</v>
      </c>
    </row>
    <row r="19" spans="2:11" ht="6" customHeight="1" x14ac:dyDescent="0.2">
      <c r="B19" s="1299"/>
      <c r="C19" s="1277"/>
      <c r="D19" s="1282"/>
      <c r="E19" s="1283"/>
      <c r="F19" s="1283"/>
      <c r="G19" s="1278"/>
    </row>
    <row r="20" spans="2:11" x14ac:dyDescent="0.2">
      <c r="B20" s="122" t="str">
        <f>'Asset Entry'!D7</f>
        <v>Equipment</v>
      </c>
      <c r="C20" s="102">
        <f>NCEquipmentTot</f>
        <v>0</v>
      </c>
      <c r="D20" s="98" t="s">
        <v>250</v>
      </c>
      <c r="E20" s="99"/>
      <c r="F20" s="99"/>
      <c r="G20" s="118">
        <f>LoanEquipmentEntry</f>
        <v>0</v>
      </c>
    </row>
    <row r="21" spans="2:11" x14ac:dyDescent="0.2">
      <c r="B21" s="122" t="s">
        <v>765</v>
      </c>
      <c r="C21" s="100">
        <f>NCBreedLivestockTot+NCPurchBreedLivestockTot</f>
        <v>0</v>
      </c>
      <c r="D21" s="98" t="s">
        <v>251</v>
      </c>
      <c r="E21" s="99"/>
      <c r="F21" s="99"/>
      <c r="G21" s="119">
        <f>LoanLivestockEntry</f>
        <v>0</v>
      </c>
    </row>
    <row r="22" spans="2:11" x14ac:dyDescent="0.2">
      <c r="B22" s="122" t="str">
        <f>'Asset Entry'!D28</f>
        <v>Business Vehicles</v>
      </c>
      <c r="C22" s="100">
        <f>NCBizVehTot</f>
        <v>0</v>
      </c>
      <c r="D22" s="98" t="s">
        <v>21</v>
      </c>
      <c r="E22" s="99"/>
      <c r="F22" s="99"/>
      <c r="G22" s="119">
        <f>LoanBVehEntry</f>
        <v>0</v>
      </c>
    </row>
    <row r="23" spans="2:11" x14ac:dyDescent="0.2">
      <c r="B23" s="120" t="s">
        <v>373</v>
      </c>
      <c r="C23" s="101">
        <f>SUM(C20:C22)</f>
        <v>0</v>
      </c>
      <c r="D23" s="1291" t="s">
        <v>374</v>
      </c>
      <c r="E23" s="1292"/>
      <c r="F23" s="1292"/>
      <c r="G23" s="121">
        <f>SUM(G20:G22)</f>
        <v>0</v>
      </c>
      <c r="H23" s="99"/>
    </row>
    <row r="24" spans="2:11" ht="6" customHeight="1" x14ac:dyDescent="0.2">
      <c r="B24" s="1299" t="s">
        <v>375</v>
      </c>
      <c r="C24" s="1277" t="s">
        <v>75</v>
      </c>
      <c r="D24" s="1282" t="s">
        <v>376</v>
      </c>
      <c r="E24" s="1283"/>
      <c r="F24" s="1283"/>
      <c r="G24" s="1278" t="s">
        <v>76</v>
      </c>
    </row>
    <row r="25" spans="2:11" ht="12.75" customHeight="1" x14ac:dyDescent="0.2">
      <c r="B25" s="1299"/>
      <c r="C25" s="1277"/>
      <c r="D25" s="1282"/>
      <c r="E25" s="1283"/>
      <c r="F25" s="1283"/>
      <c r="G25" s="1278"/>
    </row>
    <row r="26" spans="2:11" ht="12.75" customHeight="1" x14ac:dyDescent="0.2">
      <c r="B26" s="122" t="str">
        <f>'Asset Entry'!D35</f>
        <v>Land</v>
      </c>
      <c r="C26" s="102">
        <f>NCLandTot</f>
        <v>0</v>
      </c>
      <c r="D26" s="98" t="s">
        <v>32</v>
      </c>
      <c r="E26" s="99"/>
      <c r="F26" s="99"/>
      <c r="G26" s="118">
        <f>LoanREEntry</f>
        <v>0</v>
      </c>
    </row>
    <row r="27" spans="2:11" x14ac:dyDescent="0.2">
      <c r="B27" s="122" t="str">
        <f>'Asset Entry'!D42</f>
        <v>Buildings &amp; Improvements</v>
      </c>
      <c r="C27" s="100">
        <f>NCBuildingsTot</f>
        <v>0</v>
      </c>
      <c r="D27" s="547" t="s">
        <v>253</v>
      </c>
      <c r="G27" s="119">
        <f>LoanBuildEntry</f>
        <v>0</v>
      </c>
    </row>
    <row r="28" spans="2:11" x14ac:dyDescent="0.2">
      <c r="B28" s="122" t="str">
        <f>'Asset Entry'!D49</f>
        <v>Oth Business Real Estate</v>
      </c>
      <c r="C28" s="100">
        <f>NCRETot</f>
        <v>0</v>
      </c>
      <c r="D28" s="98" t="s">
        <v>264</v>
      </c>
      <c r="E28" s="99"/>
      <c r="F28" s="99"/>
      <c r="G28" s="119">
        <f>LoanOthBizEntry</f>
        <v>0</v>
      </c>
    </row>
    <row r="29" spans="2:11" x14ac:dyDescent="0.2">
      <c r="B29" s="122" t="str">
        <f>'Asset Entry'!D56</f>
        <v>Other Non-Current Business Assets</v>
      </c>
      <c r="C29" s="100">
        <f>NCOthBizTot</f>
        <v>0</v>
      </c>
      <c r="D29" s="98" t="str">
        <f>'Liability Entry'!A42</f>
        <v>Other Non-Current Liabilities</v>
      </c>
      <c r="E29" s="99"/>
      <c r="F29" s="99"/>
      <c r="G29" s="119">
        <f>NCOthLiabTot</f>
        <v>0</v>
      </c>
    </row>
    <row r="30" spans="2:11" x14ac:dyDescent="0.2">
      <c r="B30" s="124" t="s">
        <v>377</v>
      </c>
      <c r="C30" s="104">
        <f>SUM(C26:C29)</f>
        <v>0</v>
      </c>
      <c r="D30" s="1291" t="s">
        <v>164</v>
      </c>
      <c r="E30" s="1292"/>
      <c r="F30" s="1292"/>
      <c r="G30" s="121">
        <f>SUM(G26:G29)</f>
        <v>0</v>
      </c>
    </row>
    <row r="31" spans="2:11" ht="3" customHeight="1" x14ac:dyDescent="0.2">
      <c r="B31" s="1309" t="s">
        <v>244</v>
      </c>
      <c r="C31" s="1301"/>
      <c r="D31" s="1300" t="s">
        <v>245</v>
      </c>
      <c r="E31" s="1301"/>
      <c r="F31" s="1301"/>
      <c r="G31" s="1302"/>
      <c r="I31" s="1306"/>
      <c r="J31" s="1306"/>
      <c r="K31" s="1306"/>
    </row>
    <row r="32" spans="2:11" ht="15" customHeight="1" x14ac:dyDescent="0.2">
      <c r="B32" s="1310"/>
      <c r="C32" s="1304"/>
      <c r="D32" s="1303"/>
      <c r="E32" s="1304"/>
      <c r="F32" s="1304"/>
      <c r="G32" s="1305"/>
      <c r="I32" s="1306"/>
      <c r="J32" s="1306"/>
      <c r="K32" s="1306"/>
    </row>
    <row r="33" spans="1:11" x14ac:dyDescent="0.2">
      <c r="B33" s="117" t="s">
        <v>162</v>
      </c>
      <c r="C33" s="105">
        <f>C17</f>
        <v>0</v>
      </c>
      <c r="D33" s="1275" t="s">
        <v>163</v>
      </c>
      <c r="E33" s="1276"/>
      <c r="F33" s="1276"/>
      <c r="G33" s="123">
        <f>G17</f>
        <v>0</v>
      </c>
      <c r="I33" s="1306"/>
      <c r="J33" s="1306"/>
      <c r="K33" s="1306"/>
    </row>
    <row r="34" spans="1:11" x14ac:dyDescent="0.2">
      <c r="B34" s="557" t="s">
        <v>373</v>
      </c>
      <c r="C34" s="105">
        <f>C23</f>
        <v>0</v>
      </c>
      <c r="D34" s="1275" t="s">
        <v>374</v>
      </c>
      <c r="E34" s="1276"/>
      <c r="F34" s="1276"/>
      <c r="G34" s="123">
        <f>G23</f>
        <v>0</v>
      </c>
      <c r="I34" s="1306"/>
      <c r="J34" s="1306"/>
      <c r="K34" s="1306"/>
    </row>
    <row r="35" spans="1:11" ht="15" x14ac:dyDescent="0.35">
      <c r="B35" s="125" t="s">
        <v>377</v>
      </c>
      <c r="C35" s="106">
        <f>C30</f>
        <v>0</v>
      </c>
      <c r="D35" s="1311" t="s">
        <v>378</v>
      </c>
      <c r="E35" s="1312"/>
      <c r="F35" s="1312"/>
      <c r="G35" s="126">
        <f>G30</f>
        <v>0</v>
      </c>
      <c r="I35" s="1306"/>
      <c r="J35" s="1306"/>
      <c r="K35" s="1306"/>
    </row>
    <row r="36" spans="1:11" ht="15" x14ac:dyDescent="0.25">
      <c r="B36" s="127" t="s">
        <v>244</v>
      </c>
      <c r="C36" s="107">
        <f>SUM(C33:C35)</f>
        <v>0</v>
      </c>
      <c r="D36" s="1307" t="s">
        <v>245</v>
      </c>
      <c r="E36" s="1308"/>
      <c r="F36" s="1308"/>
      <c r="G36" s="128">
        <f>SUM(G33:G35)</f>
        <v>0</v>
      </c>
      <c r="I36" s="1306"/>
      <c r="J36" s="1306"/>
      <c r="K36" s="1306"/>
    </row>
    <row r="37" spans="1:11" ht="15" x14ac:dyDescent="0.25">
      <c r="B37" s="1054"/>
      <c r="C37" s="1055"/>
      <c r="D37" s="1056"/>
      <c r="E37" s="1056"/>
      <c r="F37" s="1056"/>
      <c r="G37" s="1057"/>
      <c r="I37" s="1050"/>
      <c r="J37" s="1050"/>
      <c r="K37" s="1050"/>
    </row>
    <row r="38" spans="1:11" ht="3" customHeight="1" x14ac:dyDescent="0.25">
      <c r="B38" s="1327" t="s">
        <v>246</v>
      </c>
      <c r="C38" s="1328"/>
      <c r="D38" s="108"/>
      <c r="E38" s="1323"/>
      <c r="F38" s="1323"/>
      <c r="G38" s="1324"/>
    </row>
    <row r="39" spans="1:11" x14ac:dyDescent="0.2">
      <c r="B39" s="1325"/>
      <c r="C39" s="1326"/>
      <c r="D39" s="1329" t="s">
        <v>769</v>
      </c>
      <c r="E39" s="1329"/>
      <c r="F39" s="1329"/>
      <c r="G39" s="123">
        <f>G36</f>
        <v>0</v>
      </c>
    </row>
    <row r="40" spans="1:11" x14ac:dyDescent="0.2">
      <c r="B40" s="1052" t="s">
        <v>768</v>
      </c>
      <c r="C40" s="1053">
        <f>C36</f>
        <v>0</v>
      </c>
      <c r="D40" s="1330" t="s">
        <v>770</v>
      </c>
      <c r="E40" s="1330"/>
      <c r="F40" s="1330"/>
      <c r="G40" s="123">
        <f>C40-G39</f>
        <v>0</v>
      </c>
    </row>
    <row r="41" spans="1:11" ht="0.95" customHeight="1" thickBot="1" x14ac:dyDescent="0.3">
      <c r="B41" s="1321"/>
      <c r="C41" s="1322"/>
      <c r="D41" s="1320"/>
      <c r="E41" s="1320"/>
      <c r="F41" s="131"/>
      <c r="G41" s="132"/>
    </row>
    <row r="42" spans="1:11" ht="6" hidden="1" customHeight="1" x14ac:dyDescent="0.2">
      <c r="A42" s="129"/>
      <c r="B42" s="1314" t="s">
        <v>247</v>
      </c>
      <c r="C42" s="1315"/>
      <c r="D42" s="1315"/>
      <c r="E42" s="1315"/>
      <c r="F42" s="1315"/>
      <c r="G42" s="1316"/>
    </row>
    <row r="43" spans="1:11" ht="7.5" hidden="1" customHeight="1" x14ac:dyDescent="0.2">
      <c r="A43" s="129"/>
      <c r="B43" s="1317"/>
      <c r="C43" s="1318"/>
      <c r="D43" s="1318"/>
      <c r="E43" s="1318"/>
      <c r="F43" s="1318"/>
      <c r="G43" s="1319"/>
      <c r="H43" s="99"/>
    </row>
    <row r="44" spans="1:11" hidden="1" x14ac:dyDescent="0.2">
      <c r="A44" s="129"/>
      <c r="B44" s="150" t="s">
        <v>78</v>
      </c>
      <c r="C44" s="109">
        <f>IF(G17&gt;0,C17/G17,0)</f>
        <v>0</v>
      </c>
      <c r="D44" s="1276" t="s">
        <v>80</v>
      </c>
      <c r="E44" s="1276"/>
      <c r="F44" s="110">
        <f>IF(C36&lt;&gt;0,G36/C36,0)</f>
        <v>0</v>
      </c>
      <c r="G44" s="129"/>
      <c r="H44" s="154"/>
    </row>
    <row r="45" spans="1:11" ht="13.5" hidden="1" thickBot="1" x14ac:dyDescent="0.25">
      <c r="A45" s="129"/>
      <c r="B45" s="149" t="s">
        <v>79</v>
      </c>
      <c r="C45" s="155">
        <f>C33-G33</f>
        <v>0</v>
      </c>
      <c r="D45" s="1313" t="s">
        <v>81</v>
      </c>
      <c r="E45" s="1313"/>
      <c r="F45" s="130">
        <f>IF(C36&lt;&gt;0,G39/G40,0)</f>
        <v>0</v>
      </c>
      <c r="G45" s="132"/>
      <c r="H45" s="154"/>
    </row>
    <row r="46" spans="1:11" ht="6" customHeight="1" x14ac:dyDescent="0.2">
      <c r="B46" s="1284" t="s">
        <v>77</v>
      </c>
      <c r="C46" s="1285"/>
      <c r="D46" s="1286" t="s">
        <v>37</v>
      </c>
      <c r="E46" s="1285"/>
      <c r="F46" s="1285"/>
      <c r="G46" s="1287"/>
    </row>
    <row r="47" spans="1:11" ht="15.75" customHeight="1" x14ac:dyDescent="0.2">
      <c r="B47" s="1284"/>
      <c r="C47" s="1285"/>
      <c r="D47" s="1286"/>
      <c r="E47" s="1285"/>
      <c r="F47" s="1285"/>
      <c r="G47" s="1287"/>
    </row>
    <row r="48" spans="1:11" x14ac:dyDescent="0.2">
      <c r="B48" s="117" t="str">
        <f>'Asset Entry'!G7</f>
        <v>Cash in Personal Accounts</v>
      </c>
      <c r="C48" s="111">
        <f>PersCashTot</f>
        <v>0</v>
      </c>
      <c r="D48" s="1337" t="str">
        <f>'Liability Entry'!D7</f>
        <v>Personal Accounts Payable</v>
      </c>
      <c r="E48" s="1338"/>
      <c r="F48" s="1338"/>
      <c r="G48" s="133">
        <f>PersLAPTot</f>
        <v>0</v>
      </c>
    </row>
    <row r="49" spans="2:7" x14ac:dyDescent="0.2">
      <c r="B49" s="117" t="str">
        <f>'Asset Entry'!G14</f>
        <v>Stocks &amp; Bonds</v>
      </c>
      <c r="C49" s="112">
        <f>PersStockTot</f>
        <v>0</v>
      </c>
      <c r="D49" s="1343" t="s">
        <v>38</v>
      </c>
      <c r="E49" s="1344"/>
      <c r="F49" s="1344"/>
      <c r="G49" s="134">
        <f>LoanPersEntry+LoanPersEntryCurrent</f>
        <v>0</v>
      </c>
    </row>
    <row r="50" spans="2:7" x14ac:dyDescent="0.2">
      <c r="B50" s="117" t="str">
        <f>'Asset Entry'!G21</f>
        <v>Loans Receivable (personal loans)</v>
      </c>
      <c r="C50" s="112">
        <f>PersLoanRTot</f>
        <v>0</v>
      </c>
      <c r="D50" s="1337" t="str">
        <f>'Liability Entry'!D14</f>
        <v>Personal Credit Card Debt</v>
      </c>
      <c r="E50" s="1338"/>
      <c r="F50" s="1338"/>
      <c r="G50" s="134">
        <f>PersLCCTot</f>
        <v>0</v>
      </c>
    </row>
    <row r="51" spans="2:7" x14ac:dyDescent="0.2">
      <c r="B51" s="544" t="str">
        <f>'Asset Entry'!G28</f>
        <v>Personal Property</v>
      </c>
      <c r="C51" s="112">
        <f>PersPropTot</f>
        <v>0</v>
      </c>
      <c r="D51" s="1337" t="str">
        <f>'Liability Entry'!D21</f>
        <v>Personal Taxes Payable</v>
      </c>
      <c r="E51" s="1338"/>
      <c r="F51" s="1338"/>
      <c r="G51" s="134">
        <f>PersLTaxesTot</f>
        <v>0</v>
      </c>
    </row>
    <row r="52" spans="2:7" x14ac:dyDescent="0.2">
      <c r="B52" s="544" t="str">
        <f>'Asset Entry'!G35</f>
        <v>Personal Vehicles</v>
      </c>
      <c r="C52" s="112">
        <f>PersVehicleTot</f>
        <v>0</v>
      </c>
      <c r="D52" s="1343" t="s">
        <v>39</v>
      </c>
      <c r="E52" s="1344"/>
      <c r="F52" s="1344"/>
      <c r="G52" s="134">
        <f>LoanPersREEntry+LoanPersREEntryCurrent</f>
        <v>0</v>
      </c>
    </row>
    <row r="53" spans="2:7" x14ac:dyDescent="0.2">
      <c r="B53" s="117" t="str">
        <f>'Asset Entry'!G42</f>
        <v>Cash Value of Life Insurance Policies</v>
      </c>
      <c r="C53" s="112">
        <f>PersLifeInsTot</f>
        <v>0</v>
      </c>
      <c r="D53" s="1337" t="str">
        <f>'Liability Entry'!D28</f>
        <v>Other Personal Liabilities</v>
      </c>
      <c r="E53" s="1338"/>
      <c r="F53" s="1338"/>
      <c r="G53" s="134">
        <f>PersLOthTot</f>
        <v>0</v>
      </c>
    </row>
    <row r="54" spans="2:7" x14ac:dyDescent="0.2">
      <c r="B54" s="544" t="str">
        <f>'Asset Entry'!G49</f>
        <v>Personal Real Estate</v>
      </c>
      <c r="C54" s="112">
        <f>PersRETot</f>
        <v>0</v>
      </c>
      <c r="D54" s="1339" t="s">
        <v>41</v>
      </c>
      <c r="E54" s="1326"/>
      <c r="F54" s="1326"/>
      <c r="G54" s="135">
        <f>SUM(G48:G53)</f>
        <v>0</v>
      </c>
    </row>
    <row r="55" spans="2:7" x14ac:dyDescent="0.2">
      <c r="B55" s="544" t="str">
        <f>'Asset Entry'!G56</f>
        <v>Retirement Accounts</v>
      </c>
      <c r="C55" s="112">
        <f>PersRetireTot</f>
        <v>0</v>
      </c>
      <c r="D55" s="103"/>
      <c r="E55" s="99"/>
      <c r="F55" s="99"/>
      <c r="G55" s="136"/>
    </row>
    <row r="56" spans="2:7" x14ac:dyDescent="0.2">
      <c r="B56" s="117" t="str">
        <f>'Asset Entry'!G63</f>
        <v>Other Personal Assets</v>
      </c>
      <c r="C56" s="112">
        <f>PersOthTot</f>
        <v>0</v>
      </c>
      <c r="D56" s="103"/>
      <c r="E56" s="99"/>
      <c r="F56" s="99"/>
      <c r="G56" s="136"/>
    </row>
    <row r="57" spans="2:7" ht="15" x14ac:dyDescent="0.25">
      <c r="B57" s="120" t="s">
        <v>40</v>
      </c>
      <c r="C57" s="113">
        <f>SUM(C48:C56)</f>
        <v>0</v>
      </c>
      <c r="D57" s="1340" t="s">
        <v>42</v>
      </c>
      <c r="E57" s="1341"/>
      <c r="F57" s="1341"/>
      <c r="G57" s="137">
        <f>C57-G54</f>
        <v>0</v>
      </c>
    </row>
    <row r="58" spans="2:7" ht="6" customHeight="1" x14ac:dyDescent="0.2">
      <c r="B58" s="138"/>
      <c r="C58" s="114"/>
      <c r="D58" s="114"/>
      <c r="E58" s="114"/>
      <c r="F58" s="114"/>
      <c r="G58" s="139"/>
    </row>
    <row r="59" spans="2:7" x14ac:dyDescent="0.2">
      <c r="B59" s="140" t="s">
        <v>244</v>
      </c>
      <c r="C59" s="115">
        <f>C36</f>
        <v>0</v>
      </c>
      <c r="D59" s="1276" t="s">
        <v>245</v>
      </c>
      <c r="E59" s="1342"/>
      <c r="F59" s="1342"/>
      <c r="G59" s="118">
        <f>G36</f>
        <v>0</v>
      </c>
    </row>
    <row r="60" spans="2:7" x14ac:dyDescent="0.2">
      <c r="B60" s="141" t="s">
        <v>40</v>
      </c>
      <c r="C60" s="116">
        <f>C57</f>
        <v>0</v>
      </c>
      <c r="D60" s="1346" t="s">
        <v>41</v>
      </c>
      <c r="E60" s="1346"/>
      <c r="F60" s="1346"/>
      <c r="G60" s="142">
        <f>G54</f>
        <v>0</v>
      </c>
    </row>
    <row r="61" spans="2:7" x14ac:dyDescent="0.2">
      <c r="B61" s="1348" t="s">
        <v>82</v>
      </c>
      <c r="C61" s="1350">
        <f>SUM(C59:C60)</f>
        <v>0</v>
      </c>
      <c r="D61" s="1345" t="s">
        <v>83</v>
      </c>
      <c r="E61" s="1345"/>
      <c r="F61" s="1345"/>
      <c r="G61" s="143">
        <f>SUM(G59:G60)</f>
        <v>0</v>
      </c>
    </row>
    <row r="62" spans="2:7" ht="13.5" thickBot="1" x14ac:dyDescent="0.25">
      <c r="B62" s="1349"/>
      <c r="C62" s="1351"/>
      <c r="D62" s="1347" t="s">
        <v>767</v>
      </c>
      <c r="E62" s="1347"/>
      <c r="F62" s="1347"/>
      <c r="G62" s="1058">
        <f>C61-G61</f>
        <v>0</v>
      </c>
    </row>
    <row r="63" spans="2:7" ht="15.75" customHeight="1" x14ac:dyDescent="0.2">
      <c r="B63" s="1331" t="s">
        <v>43</v>
      </c>
      <c r="C63" s="1332"/>
      <c r="D63" s="1335">
        <f>C61-G61</f>
        <v>0</v>
      </c>
      <c r="E63" s="1335"/>
      <c r="F63" s="99"/>
      <c r="G63" s="118"/>
    </row>
    <row r="64" spans="2:7" ht="0.95" customHeight="1" thickBot="1" x14ac:dyDescent="0.25">
      <c r="B64" s="1333"/>
      <c r="C64" s="1334"/>
      <c r="D64" s="1336"/>
      <c r="E64" s="1336"/>
      <c r="F64" s="131"/>
      <c r="G64" s="132"/>
    </row>
  </sheetData>
  <sheetProtection algorithmName="SHA-512" hashValue="vHxSdj4C1cX7+ImjrgylvtRJWtDsdl1cKYk6cUI+5trd3rpt+cMnSZXxQ32eBbH6DliDvNVWd1OnxOVxxuKW3Q==" saltValue="+/nBe8Dtkw8kCJ0rUbqCVQ==" spinCount="100000" sheet="1" objects="1" scenarios="1"/>
  <mergeCells count="57">
    <mergeCell ref="B63:C64"/>
    <mergeCell ref="D63:E64"/>
    <mergeCell ref="D48:F48"/>
    <mergeCell ref="D54:F54"/>
    <mergeCell ref="D57:F57"/>
    <mergeCell ref="D59:F59"/>
    <mergeCell ref="D53:F53"/>
    <mergeCell ref="D52:F52"/>
    <mergeCell ref="D51:F51"/>
    <mergeCell ref="D50:F50"/>
    <mergeCell ref="D49:F49"/>
    <mergeCell ref="D61:F61"/>
    <mergeCell ref="D60:F60"/>
    <mergeCell ref="D62:F62"/>
    <mergeCell ref="B61:B62"/>
    <mergeCell ref="C61:C62"/>
    <mergeCell ref="I31:K36"/>
    <mergeCell ref="D36:F36"/>
    <mergeCell ref="B31:C32"/>
    <mergeCell ref="D35:F35"/>
    <mergeCell ref="D45:E45"/>
    <mergeCell ref="D44:E44"/>
    <mergeCell ref="B42:G43"/>
    <mergeCell ref="D41:E41"/>
    <mergeCell ref="B41:C41"/>
    <mergeCell ref="E38:G38"/>
    <mergeCell ref="B39:C39"/>
    <mergeCell ref="D33:F33"/>
    <mergeCell ref="B38:C38"/>
    <mergeCell ref="D39:F39"/>
    <mergeCell ref="D40:F40"/>
    <mergeCell ref="B46:C47"/>
    <mergeCell ref="D46:G47"/>
    <mergeCell ref="D4:E4"/>
    <mergeCell ref="F4:G4"/>
    <mergeCell ref="B1:C4"/>
    <mergeCell ref="D30:F30"/>
    <mergeCell ref="D17:F17"/>
    <mergeCell ref="B5:C5"/>
    <mergeCell ref="D5:G5"/>
    <mergeCell ref="B6:B7"/>
    <mergeCell ref="C6:C7"/>
    <mergeCell ref="B18:B19"/>
    <mergeCell ref="C18:C19"/>
    <mergeCell ref="D31:G32"/>
    <mergeCell ref="D23:F23"/>
    <mergeCell ref="B24:B25"/>
    <mergeCell ref="F3:G3"/>
    <mergeCell ref="D3:E3"/>
    <mergeCell ref="D34:F34"/>
    <mergeCell ref="C24:C25"/>
    <mergeCell ref="G18:G19"/>
    <mergeCell ref="G6:G7"/>
    <mergeCell ref="G24:G25"/>
    <mergeCell ref="D6:F7"/>
    <mergeCell ref="D18:F19"/>
    <mergeCell ref="D24:F25"/>
  </mergeCells>
  <printOptions horizontalCentered="1"/>
  <pageMargins left="0.25" right="0.25" top="0.75" bottom="0.75" header="0.3" footer="0.3"/>
  <pageSetup orientation="portrait" r:id="rId1"/>
  <headerFooter>
    <oddFooter>&amp;LAgPlan Balance Sheet&amp;RAgPlan.com</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C400"/>
  </sheetPr>
  <dimension ref="A2:Q97"/>
  <sheetViews>
    <sheetView workbookViewId="0">
      <selection activeCell="M72" sqref="M72"/>
    </sheetView>
  </sheetViews>
  <sheetFormatPr defaultRowHeight="12.75" x14ac:dyDescent="0.2"/>
  <cols>
    <col min="2" max="2" width="11" customWidth="1"/>
    <col min="3" max="3" width="12.28515625" bestFit="1" customWidth="1"/>
    <col min="8" max="8" width="9.5703125" customWidth="1"/>
    <col min="9" max="9" width="14.85546875" customWidth="1"/>
    <col min="10" max="10" width="11.5703125" customWidth="1"/>
    <col min="11" max="12" width="10.28515625" customWidth="1"/>
    <col min="13" max="13" width="6.5703125" customWidth="1"/>
    <col min="15" max="15" width="9.5703125" customWidth="1"/>
    <col min="16" max="16" width="14.85546875" customWidth="1"/>
    <col min="17" max="17" width="11.5703125" customWidth="1"/>
    <col min="18" max="18" width="10.28515625" customWidth="1"/>
  </cols>
  <sheetData>
    <row r="2" spans="2:17" ht="13.5" thickBot="1" x14ac:dyDescent="0.25">
      <c r="B2" s="407" t="s">
        <v>125</v>
      </c>
      <c r="C2" s="408" t="s">
        <v>405</v>
      </c>
      <c r="D2" s="408" t="s">
        <v>175</v>
      </c>
      <c r="E2" s="408" t="s">
        <v>176</v>
      </c>
      <c r="G2" s="407" t="s">
        <v>196</v>
      </c>
      <c r="H2" s="408" t="s">
        <v>104</v>
      </c>
      <c r="I2" s="408" t="s">
        <v>102</v>
      </c>
      <c r="J2" s="408" t="s">
        <v>100</v>
      </c>
      <c r="K2" s="408" t="s">
        <v>99</v>
      </c>
      <c r="L2" s="57"/>
      <c r="M2" s="407" t="s">
        <v>196</v>
      </c>
      <c r="N2" s="690" t="s">
        <v>104</v>
      </c>
      <c r="O2" s="690" t="s">
        <v>102</v>
      </c>
      <c r="P2" s="690" t="s">
        <v>100</v>
      </c>
      <c r="Q2" s="690" t="s">
        <v>99</v>
      </c>
    </row>
    <row r="3" spans="2:17" ht="13.5" thickTop="1" x14ac:dyDescent="0.2">
      <c r="B3" s="771" t="s">
        <v>182</v>
      </c>
      <c r="C3" s="772" t="s">
        <v>4</v>
      </c>
      <c r="D3" s="773">
        <f>SUM('Loans to Cash Flows Wkst'!$H3:$K3)</f>
        <v>0</v>
      </c>
      <c r="E3" s="693">
        <f>SUM('Loans to Cash Flows Wkst'!$N3:$Q3)</f>
        <v>0</v>
      </c>
      <c r="G3" s="784" t="s">
        <v>4</v>
      </c>
      <c r="H3" s="773">
        <f>SUMIFS('Loan Entry'!$V$15:$V$18,'Loan Entry'!$D$15:$D$18,$C$2,'Loan Entry'!$AB$15:$AB$18,$C3,'Loan Entry'!$M$15:$M$18,'Loans to Cash Flows Wkst'!H$2)+SUMIFS('Loan Entry'!$V$23:$V$26,'Loan Entry'!$D$23:$D$26,$C$2,'Loan Entry'!$AB$23:$AB$26,$C3,'Loan Entry'!$M$23:$M$26,'Loans to Cash Flows Wkst'!H$2)+SUMIFS('Loan Entry'!$V$31:$V$34,'Loan Entry'!$D$31:$D$34,$C$2,'Loan Entry'!$AB$31:$AB$34,$C3,'Loan Entry'!$M$31:$M$34,'Loans to Cash Flows Wkst'!H$2)+SUMIFS('Loan Entry'!$V$47:$V$50,'Loan Entry'!$D$47:$D$50,$C$2,'Loan Entry'!$AB$47:$AB$50,$C3,'Loan Entry'!$M$47:$M$50,'Loans to Cash Flows Wkst'!H$2) +SUMIFS('Loan Entry'!$V$55:$V$58,'Loan Entry'!$D$55:$D$58,$C$2,'Loan Entry'!$AB$55:$AB$58,$C3,'Loan Entry'!$M$55:$M$58,'Loans to Cash Flows Wkst'!H$2)+SUMIFS('Loan Entry'!$V$39:$V$42,'Loan Entry'!$D$39:$D$42,$C$2,'Loan Entry'!$AB$39:$AB$42,$C3,'Loan Entry'!$M$39:$M$42,'Loans to Cash Flows Wkst'!H$2)</f>
        <v>0</v>
      </c>
      <c r="I3" s="693">
        <f>SUMIFS('Loan Entry'!$V$15:$V$18,'Loan Entry'!$D$15:$D$18,$C$2,'Loan Entry'!$AB$15:$AB$18,"*Jan*",'Loan Entry'!$M$15:$M$18,'Loans to Cash Flows Wkst'!I$2)+SUMIFS('Loan Entry'!$V$23:$V$26,'Loan Entry'!$D$23:$D$26,$C$2,'Loan Entry'!$AB$23:$AB$26,"*Jan*",'Loan Entry'!$M$23:$M$26,'Loans to Cash Flows Wkst'!I$2)+SUMIFS('Loan Entry'!$V$31:$V$34,'Loan Entry'!$D$31:$D$34,$C$2,'Loan Entry'!$AB$31:$AB$34,"*Jan*",'Loan Entry'!$M$31:$M$34,'Loans to Cash Flows Wkst'!I$2)+SUMIFS('Loan Entry'!$V$47:$V$50,'Loan Entry'!$D$47:$D$50,$C$2,'Loan Entry'!$AB$47:$AB$50,"*Jan*",'Loan Entry'!$M$47:$M$50,'Loans to Cash Flows Wkst'!I$2)+SUMIFS('Loan Entry'!$V$55:$V$58,'Loan Entry'!$D$55:$D$58,$C$2,'Loan Entry'!$AB$55:$AB$58,"*Jan*",'Loan Entry'!$M$55:$M$58,'Loans to Cash Flows Wkst'!I$2)+SUMIFS('Loan Entry'!$V$39:$V$42,'Loan Entry'!$D$39:$D$42,$C$2,'Loan Entry'!$AB$39:$AB$42,"*Jan*",'Loan Entry'!$M$39:$M$42,'Loans to Cash Flows Wkst'!I$2)</f>
        <v>0</v>
      </c>
      <c r="J3" s="693">
        <f>SUMIFS('Loan Entry'!$V$15:$V$18,'Loan Entry'!$D$15:$D$18,$C$2,'Loan Entry'!$AB$15:$AB$18,"*Jan*",'Loan Entry'!$M$15:$M$18,'Loans to Cash Flows Wkst'!J$2)+SUMIFS('Loan Entry'!$V$23:$V$26,'Loan Entry'!$D$23:$D$26,$C$2,'Loan Entry'!$AB$23:$AB$26,"*Jan*",'Loan Entry'!$M$23:$M$26,'Loans to Cash Flows Wkst'!J$2)+SUMIFS('Loan Entry'!$V$31:$V$34,'Loan Entry'!$D$31:$D$34,$C$2,'Loan Entry'!$AB$31:$AB$34,"*Jan*",'Loan Entry'!$M$31:$M$34,'Loans to Cash Flows Wkst'!J$2)+SUMIFS('Loan Entry'!$V$47:$V$50,'Loan Entry'!$D$47:$D$50,$C$2,'Loan Entry'!$AB$47:$AB$50,"*Jan*",'Loan Entry'!$M$47:$M$50,'Loans to Cash Flows Wkst'!J$2) +SUMIFS('Loan Entry'!$V$55:$V$58,'Loan Entry'!$D$55:$D$58,$C$2,'Loan Entry'!$AB$55:$AB$58,"*Jan*",'Loan Entry'!$M$55:$M$58,'Loans to Cash Flows Wkst'!J$2)+SUMIFS('Loan Entry'!$V$39:$V$42,'Loan Entry'!$D$39:$D$42,$C$2,'Loan Entry'!$AB$39:$AB$42,"*Jan*",'Loan Entry'!$M$39:$M$42,'Loans to Cash Flows Wkst'!J$2)</f>
        <v>0</v>
      </c>
      <c r="K3" s="693">
        <f>SUMIFS('Loan Entry'!$V$15:$V$18,'Loan Entry'!$D$15:$D$18,$C$2,'Loan Entry'!$AB$15:$AB$18,"*Jan*",'Loan Entry'!$M$15:$M$18,'Loans to Cash Flows Wkst'!K$2)+SUMIFS('Loan Entry'!$V$23:$V$26,'Loan Entry'!$D$23:$D$26,$C$2,'Loan Entry'!$AB$23:$AB$26,"*Jan*",'Loan Entry'!$M$23:$M$26,'Loans to Cash Flows Wkst'!K$2)+SUMIFS('Loan Entry'!$V$31:$V$34,'Loan Entry'!$D$31:$D$34,$C$2,'Loan Entry'!$AB$31:$AB$34,"*Jan*",'Loan Entry'!$M$31:$M$34,'Loans to Cash Flows Wkst'!K$2)+SUMIFS('Loan Entry'!$V$47:$V$50,'Loan Entry'!$D$47:$D$50,$C$2,'Loan Entry'!$AB$47:$AB$50,"*Jan*",'Loan Entry'!$M$47:$M$50,'Loans to Cash Flows Wkst'!K$2) +SUMIFS('Loan Entry'!$V$55:$V$58,'Loan Entry'!$D$55:$D$58,$C$2,'Loan Entry'!$AB$55:$AB$58,"*Jan*",'Loan Entry'!$M$55:$M$58,'Loans to Cash Flows Wkst'!K$2)+SUMIFS('Loan Entry'!$V$39:$V$42,'Loan Entry'!$D$39:$D$42,$C$2,'Loan Entry'!$AB$39:$AB$42,"*Jan*",'Loan Entry'!$M$39:$M$42,'Loans to Cash Flows Wkst'!K$2)</f>
        <v>0</v>
      </c>
      <c r="M3" s="784" t="s">
        <v>4</v>
      </c>
      <c r="N3" s="693">
        <f>SUMIFS('Loan Entry'!$W$15:$W$18,'Loan Entry'!$D$15:$D$18,$C$2,'Loan Entry'!$AB$15:$AB$18,$C3,'Loan Entry'!$M$15:$M$18,'Loans to Cash Flows Wkst'!N$2)+SUMIFS('Loan Entry'!$W$23:$W$26,'Loan Entry'!$D$23:$D$26,$C$2,'Loan Entry'!$AB$23:$AB$26,$C3,'Loan Entry'!$M$23:$M$26,'Loans to Cash Flows Wkst'!N$2)+SUMIFS('Loan Entry'!$W$31:$W$34,'Loan Entry'!$D$31:$D$34,$C$2,'Loan Entry'!$AB$31:$AB$34,$C3,'Loan Entry'!$M$31:$M$34,'Loans to Cash Flows Wkst'!N$2)+SUMIFS('Loan Entry'!$W$47:$W$50,'Loan Entry'!$D$47:$D$50,$C$2,'Loan Entry'!$AB$47:$AB$50,$C3,'Loan Entry'!$M$47:$M$50,'Loans to Cash Flows Wkst'!N$2)+SUMIFS('Loan Entry'!$W$55:$W$58,'Loan Entry'!$D$55:$D$58,$C$2,'Loan Entry'!$AB$55:$AB$58,$C3,'Loan Entry'!$M$55:$M$58,'Loans to Cash Flows Wkst'!N$2)+SUMIFS('Loan Entry'!$W$39:$W$42,'Loan Entry'!$D$39:$D$42,$C$2,'Loan Entry'!$AB$39:$AB$42,$C3,'Loan Entry'!$M$39:$M$42,'Loans to Cash Flows Wkst'!N$2)</f>
        <v>0</v>
      </c>
      <c r="O3" s="693">
        <f>SUMIFS('Loan Entry'!$W$15:$W$18,'Loan Entry'!$D$15:$D$18,$C$2,'Loan Entry'!$AB$15:$AB$18,"*Jan*",'Loan Entry'!$M$15:$M$18,'Loans to Cash Flows Wkst'!O$2)+SUMIFS('Loan Entry'!$W$23:$W$26,'Loan Entry'!$D$23:$D$26,$C$2,'Loan Entry'!$AB$23:$AB$26,"*Jan*",'Loan Entry'!$M$23:$M$26,'Loans to Cash Flows Wkst'!O$2)+SUMIFS('Loan Entry'!$W$31:$W$34,'Loan Entry'!$D$31:$D$34,$C$2,'Loan Entry'!$AB$31:$AB$34,"*Jan*",'Loan Entry'!$M$31:$M$34,'Loans to Cash Flows Wkst'!O$2)+SUMIFS('Loan Entry'!$W$47:$W$50,'Loan Entry'!$D$47:$D$50,$C$2,'Loan Entry'!$AB$47:$AB$50,"*Jan*",'Loan Entry'!$M$47:$M$50,'Loans to Cash Flows Wkst'!O$2)+SUMIFS('Loan Entry'!$W$55:$W$58,'Loan Entry'!$D$55:$D$58,$C$2,'Loan Entry'!$AB$55:$AB$58,"*Jan*",'Loan Entry'!$M$55:$M$58,'Loans to Cash Flows Wkst'!O$2)+SUMIFS('Loan Entry'!$W$39:$W$42,'Loan Entry'!$D$39:$D$42,$C$2,'Loan Entry'!$AB$39:$AB$42,"*Jan*",'Loan Entry'!$M$39:$M$42,'Loans to Cash Flows Wkst'!O$2)</f>
        <v>0</v>
      </c>
      <c r="P3" s="693">
        <f>SUMIFS('Loan Entry'!$W$15:$W$18,'Loan Entry'!$D$15:$D$18,$C$2,'Loan Entry'!$AB$15:$AB$18,"*Jan*",'Loan Entry'!$M$15:$M$18,'Loans to Cash Flows Wkst'!P$2)+SUMIFS('Loan Entry'!$W$23:$W$26,'Loan Entry'!$D$23:$D$26,$C$2,'Loan Entry'!$AB$23:$AB$26,"*Jan*",'Loan Entry'!$M$23:$M$26,'Loans to Cash Flows Wkst'!P$2)+SUMIFS('Loan Entry'!$W$31:$W$34,'Loan Entry'!$D$31:$D$34,$C$2,'Loan Entry'!$AB$31:$AB$34,"*Jan*",'Loan Entry'!$M$31:$M$34,'Loans to Cash Flows Wkst'!P$2)+SUMIFS('Loan Entry'!$W$47:$W$50,'Loan Entry'!$D$47:$D$50,$C$2,'Loan Entry'!$AB$47:$AB$50,"*Jan*",'Loan Entry'!$M$47:$M$50,'Loans to Cash Flows Wkst'!P$2)+SUMIFS('Loan Entry'!$W$55:$W$58,'Loan Entry'!$D$55:$D$58,$C$2,'Loan Entry'!$AB$55:$AB$58,"*Jan*",'Loan Entry'!$M$55:$M$58,'Loans to Cash Flows Wkst'!P$2)+SUMIFS('Loan Entry'!$W$39:$W$42,'Loan Entry'!$D$39:$D$42,$C$2,'Loan Entry'!$AB$39:$AB$42,"*Jan*",'Loan Entry'!$M$39:$M$42,'Loans to Cash Flows Wkst'!P$2)</f>
        <v>0</v>
      </c>
      <c r="Q3" s="693">
        <f>SUMIFS('Loan Entry'!$W$15:$W$18,'Loan Entry'!$D$15:$D$18,$C$2,'Loan Entry'!$AB$15:$AB$18,"*Jan*",'Loan Entry'!$M$15:$M$18,'Loans to Cash Flows Wkst'!Q$2)+SUMIFS('Loan Entry'!$W$23:$W$26,'Loan Entry'!$D$23:$D$26,$C$2,'Loan Entry'!$AB$23:$AB$26,"*Jan*",'Loan Entry'!$M$23:$M$26,'Loans to Cash Flows Wkst'!Q$2)+SUMIFS('Loan Entry'!$W$31:$W$34,'Loan Entry'!$D$31:$D$34,$C$2,'Loan Entry'!$AB$31:$AB$34,"*Jan*",'Loan Entry'!$M$31:$M$34,'Loans to Cash Flows Wkst'!Q$2)+SUMIFS('Loan Entry'!$W$47:$W$50,'Loan Entry'!$D$47:$D$50,$C$2,'Loan Entry'!$AB$47:$AB$50,"*Jan*",'Loan Entry'!$M$47:$M$50,'Loans to Cash Flows Wkst'!Q$2)+SUMIFS('Loan Entry'!$W$55:$W$58,'Loan Entry'!$D$55:$D$58,$C$2,'Loan Entry'!$AB$55:$AB$58,"*Jan*",'Loan Entry'!$M$55:$M$58,'Loans to Cash Flows Wkst'!Q$2)+SUMIFS('Loan Entry'!$W$39:$W$42,'Loan Entry'!$D$39:$D$42,$C$2,'Loan Entry'!$AB$39:$AB$42,"*Jan*",'Loan Entry'!$M$39:$M$42,'Loans to Cash Flows Wkst'!Q$2)</f>
        <v>0</v>
      </c>
    </row>
    <row r="4" spans="2:17" x14ac:dyDescent="0.2">
      <c r="B4" s="774" t="s">
        <v>183</v>
      </c>
      <c r="C4" s="775" t="s">
        <v>5</v>
      </c>
      <c r="D4" s="776">
        <f>SUM('Loans to Cash Flows Wkst'!$H4:$K4)</f>
        <v>0</v>
      </c>
      <c r="E4" s="687">
        <f>SUM('Loans to Cash Flows Wkst'!$N4:$Q4)</f>
        <v>0</v>
      </c>
      <c r="G4" s="785" t="s">
        <v>5</v>
      </c>
      <c r="H4" s="776">
        <f>SUMIFS('Loan Entry'!$V$15:$V$18,'Loan Entry'!$D$15:$D$18,$C$2,'Loan Entry'!$AB$15:$AB$18,$C4,'Loan Entry'!$M$15:$M$18,'Loans to Cash Flows Wkst'!H$2)+SUMIFS('Loan Entry'!$V$23:$V$26,'Loan Entry'!$D$23:$D$26,$C$2,'Loan Entry'!$AB$23:$AB$26,$C4,'Loan Entry'!$M$23:$M$26,'Loans to Cash Flows Wkst'!H$2)+SUMIFS('Loan Entry'!$V$31:$V$34,'Loan Entry'!$D$31:$D$34,$C$2,'Loan Entry'!$AB$31:$AB$34,$C4,'Loan Entry'!$M$31:$M$34,'Loans to Cash Flows Wkst'!H$2)+SUMIFS('Loan Entry'!$V$47:$V$50,'Loan Entry'!$D$47:$D$50,$C$2,'Loan Entry'!$AB$47:$AB$50,$C4,'Loan Entry'!$M$47:$M$50,'Loans to Cash Flows Wkst'!H$2) +SUMIFS('Loan Entry'!$V$55:$V$58,'Loan Entry'!$D$55:$D$58,$C$2,'Loan Entry'!$AB$55:$AB$58,$C4,'Loan Entry'!$M$55:$M$58,'Loans to Cash Flows Wkst'!H$2)+SUMIFS('Loan Entry'!$V$39:$V$42,'Loan Entry'!$D$39:$D$42,$C$2,'Loan Entry'!$AB$39:$AB$42,$C4,'Loan Entry'!$M$39:$M$42,'Loans to Cash Flows Wkst'!H$2)</f>
        <v>0</v>
      </c>
      <c r="I4" s="687">
        <f>SUMIFS('Loan Entry'!$V$15:$V$18,'Loan Entry'!$D$15:$D$18,$C$2,'Loan Entry'!$AB$15:$AB$18,"*Feb*",'Loan Entry'!$M$15:$M$18,'Loans to Cash Flows Wkst'!I$2)+SUMIFS('Loan Entry'!$V$23:$V$26,'Loan Entry'!$D$23:$D$26,$C$2,'Loan Entry'!$AB$23:$AB$26,"*Feb*",'Loan Entry'!$M$23:$M$26,'Loans to Cash Flows Wkst'!I$2)+SUMIFS('Loan Entry'!$V$31:$V$34,'Loan Entry'!$D$31:$D$34,$C$2,'Loan Entry'!$AB$31:$AB$34,"*Feb*",'Loan Entry'!$M$31:$M$34,'Loans to Cash Flows Wkst'!I$2)+SUMIFS('Loan Entry'!$V$47:$V$50,'Loan Entry'!$D$47:$D$50,$C$2,'Loan Entry'!$AB$47:$AB$50,"*Feb*",'Loan Entry'!$M$47:$M$50,'Loans to Cash Flows Wkst'!I$2)+SUMIFS('Loan Entry'!$V$55:$V$58,'Loan Entry'!$D$55:$D$58,$C$2,'Loan Entry'!$AB$55:$AB$58,"*Feb*",'Loan Entry'!$M$55:$M$58,'Loans to Cash Flows Wkst'!I$2)+SUMIFS('Loan Entry'!$V$39:$V$42,'Loan Entry'!$D$39:$D$42,$C$2,'Loan Entry'!$AB$39:$AB$42,"*Feb*",'Loan Entry'!$M$39:$M$42,'Loans to Cash Flows Wkst'!I$2)</f>
        <v>0</v>
      </c>
      <c r="J4" s="687">
        <f>SUMIFS('Loan Entry'!$V$15:$V$18,'Loan Entry'!$D$15:$D$18,$C$2,'Loan Entry'!$AB$15:$AB$18,"*Feb*",'Loan Entry'!$M$15:$M$18,'Loans to Cash Flows Wkst'!J$2)+SUMIFS('Loan Entry'!$V$23:$V$26,'Loan Entry'!$D$23:$D$26,$C$2,'Loan Entry'!$AB$23:$AB$26,"*Feb*",'Loan Entry'!$M$23:$M$26,'Loans to Cash Flows Wkst'!J$2)+SUMIFS('Loan Entry'!$V$31:$V$34,'Loan Entry'!$D$31:$D$34,$C$2,'Loan Entry'!$AB$31:$AB$34,"*Feb*",'Loan Entry'!$M$31:$M$34,'Loans to Cash Flows Wkst'!J$2)+SUMIFS('Loan Entry'!$V$47:$V$50,'Loan Entry'!$D$47:$D$50,$C$2,'Loan Entry'!$AB$47:$AB$50,"*Feb*",'Loan Entry'!$M$47:$M$50,'Loans to Cash Flows Wkst'!J$2) +SUMIFS('Loan Entry'!$V$55:$V$58,'Loan Entry'!$D$55:$D$58,$C$2,'Loan Entry'!$AB$55:$AB$58,"*Feb*",'Loan Entry'!$M$55:$M$58,'Loans to Cash Flows Wkst'!J$2)+SUMIFS('Loan Entry'!$V$39:$V$42,'Loan Entry'!$D$39:$D$42,$C$2,'Loan Entry'!$AB$39:$AB$42,"*Feb*",'Loan Entry'!$M$39:$M$42,'Loans to Cash Flows Wkst'!J$2)</f>
        <v>0</v>
      </c>
      <c r="K4" s="687">
        <f>SUMIFS('Loan Entry'!$V$15:$V$18,'Loan Entry'!$D$15:$D$18,$C$2,'Loan Entry'!$AB$15:$AB$18,"*Feb*",'Loan Entry'!$M$15:$M$18,'Loans to Cash Flows Wkst'!K$2)+SUMIFS('Loan Entry'!$V$23:$V$26,'Loan Entry'!$D$23:$D$26,$C$2,'Loan Entry'!$AB$23:$AB$26,"*Feb*",'Loan Entry'!$M$23:$M$26,'Loans to Cash Flows Wkst'!K$2)+SUMIFS('Loan Entry'!$V$31:$V$34,'Loan Entry'!$D$31:$D$34,$C$2,'Loan Entry'!$AB$31:$AB$34,"*Feb*",'Loan Entry'!$M$31:$M$34,'Loans to Cash Flows Wkst'!K$2)+SUMIFS('Loan Entry'!$V$47:$V$50,'Loan Entry'!$D$47:$D$50,$C$2,'Loan Entry'!$AB$47:$AB$50,"*Feb*",'Loan Entry'!$M$47:$M$50,'Loans to Cash Flows Wkst'!K$2) +SUMIFS('Loan Entry'!$V$55:$V$58,'Loan Entry'!$D$55:$D$58,$C$2,'Loan Entry'!$AB$55:$AB$58,"*Feb*",'Loan Entry'!$M$55:$M$58,'Loans to Cash Flows Wkst'!K$2)+SUMIFS('Loan Entry'!$V$39:$V$42,'Loan Entry'!$D$39:$D$42,$C$2,'Loan Entry'!$AB$39:$AB$42,"*Feb*",'Loan Entry'!$M$39:$M$42,'Loans to Cash Flows Wkst'!K$2)</f>
        <v>0</v>
      </c>
      <c r="M4" s="785" t="s">
        <v>5</v>
      </c>
      <c r="N4" s="687">
        <f>SUMIFS('Loan Entry'!$W$15:$W$18,'Loan Entry'!$D$15:$D$18,$C$2,'Loan Entry'!$AB$15:$AB$18,$C4,'Loan Entry'!$M$15:$M$18,'Loans to Cash Flows Wkst'!N$2)+SUMIFS('Loan Entry'!$W$23:$W$26,'Loan Entry'!$D$23:$D$26,$C$2,'Loan Entry'!$AB$23:$AB$26,$C4,'Loan Entry'!$M$23:$M$26,'Loans to Cash Flows Wkst'!N$2)+SUMIFS('Loan Entry'!$W$31:$W$34,'Loan Entry'!$D$31:$D$34,$C$2,'Loan Entry'!$AB$31:$AB$34,$C4,'Loan Entry'!$M$31:$M$34,'Loans to Cash Flows Wkst'!N$2)+SUMIFS('Loan Entry'!$W$47:$W$50,'Loan Entry'!$D$47:$D$50,$C$2,'Loan Entry'!$AB$47:$AB$50,$C4,'Loan Entry'!$M$47:$M$50,'Loans to Cash Flows Wkst'!N$2)+SUMIFS('Loan Entry'!$W$55:$W$58,'Loan Entry'!$D$55:$D$58,$C$2,'Loan Entry'!$AB$55:$AB$58,$C4,'Loan Entry'!$M$55:$M$58,'Loans to Cash Flows Wkst'!N$2)+SUMIFS('Loan Entry'!$W$39:$W$42,'Loan Entry'!$D$39:$D$42,$C$2,'Loan Entry'!$AB$39:$AB$42,$C4,'Loan Entry'!$M$39:$M$42,'Loans to Cash Flows Wkst'!N$2)</f>
        <v>0</v>
      </c>
      <c r="O4" s="687">
        <f>SUMIFS('Loan Entry'!$W$15:$W$18,'Loan Entry'!$D$15:$D$18,$C$2,'Loan Entry'!$AB$15:$AB$18,"*Feb*",'Loan Entry'!$M$15:$M$18,'Loans to Cash Flows Wkst'!O$2)+SUMIFS('Loan Entry'!$W$23:$W$26,'Loan Entry'!$D$23:$D$26,$C$2,'Loan Entry'!$AB$23:$AB$26,"*Feb*",'Loan Entry'!$M$23:$M$26,'Loans to Cash Flows Wkst'!O$2)+SUMIFS('Loan Entry'!$W$31:$W$34,'Loan Entry'!$D$31:$D$34,$C$2,'Loan Entry'!$AB$31:$AB$34,"*Feb*",'Loan Entry'!$M$31:$M$34,'Loans to Cash Flows Wkst'!O$2)+SUMIFS('Loan Entry'!$W$47:$W$50,'Loan Entry'!$D$47:$D$50,$C$2,'Loan Entry'!$AB$47:$AB$50,"*Feb*",'Loan Entry'!$M$47:$M$50,'Loans to Cash Flows Wkst'!O$2)+SUMIFS('Loan Entry'!$W$55:$W$58,'Loan Entry'!$D$55:$D$58,$C$2,'Loan Entry'!$AB$55:$AB$58,"*Feb*",'Loan Entry'!$M$55:$M$58,'Loans to Cash Flows Wkst'!O$2)+SUMIFS('Loan Entry'!$W$39:$W$42,'Loan Entry'!$D$39:$D$42,$C$2,'Loan Entry'!$AB$39:$AB$42,"*Feb*",'Loan Entry'!$M$39:$M$42,'Loans to Cash Flows Wkst'!O$2)</f>
        <v>0</v>
      </c>
      <c r="P4" s="687">
        <f>SUMIFS('Loan Entry'!$W$15:$W$18,'Loan Entry'!$D$15:$D$18,$C$2,'Loan Entry'!$AB$15:$AB$18,"*Feb*",'Loan Entry'!$M$15:$M$18,'Loans to Cash Flows Wkst'!P$2)+SUMIFS('Loan Entry'!$W$23:$W$26,'Loan Entry'!$D$23:$D$26,$C$2,'Loan Entry'!$AB$23:$AB$26,"*Feb*",'Loan Entry'!$M$23:$M$26,'Loans to Cash Flows Wkst'!P$2)+SUMIFS('Loan Entry'!$W$31:$W$34,'Loan Entry'!$D$31:$D$34,$C$2,'Loan Entry'!$AB$31:$AB$34,"*Feb*",'Loan Entry'!$M$31:$M$34,'Loans to Cash Flows Wkst'!P$2)+SUMIFS('Loan Entry'!$W$47:$W$50,'Loan Entry'!$D$47:$D$50,$C$2,'Loan Entry'!$AB$47:$AB$50,"*Feb*",'Loan Entry'!$M$47:$M$50,'Loans to Cash Flows Wkst'!P$2)+SUMIFS('Loan Entry'!$W$55:$W$58,'Loan Entry'!$D$55:$D$58,$C$2,'Loan Entry'!$AB$55:$AB$58,"*Feb*",'Loan Entry'!$M$55:$M$58,'Loans to Cash Flows Wkst'!P$2)+SUMIFS('Loan Entry'!$W$39:$W$42,'Loan Entry'!$D$39:$D$42,$C$2,'Loan Entry'!$AB$39:$AB$42,"*Feb*",'Loan Entry'!$M$39:$M$42,'Loans to Cash Flows Wkst'!P$2)</f>
        <v>0</v>
      </c>
      <c r="Q4" s="687">
        <f>SUMIFS('Loan Entry'!$W$15:$W$18,'Loan Entry'!$D$15:$D$18,$C$2,'Loan Entry'!$AB$15:$AB$18,"*Feb*",'Loan Entry'!$M$15:$M$18,'Loans to Cash Flows Wkst'!Q$2)+SUMIFS('Loan Entry'!$W$23:$W$26,'Loan Entry'!$D$23:$D$26,$C$2,'Loan Entry'!$AB$23:$AB$26,"*Feb*",'Loan Entry'!$M$23:$M$26,'Loans to Cash Flows Wkst'!Q$2)+SUMIFS('Loan Entry'!$W$31:$W$34,'Loan Entry'!$D$31:$D$34,$C$2,'Loan Entry'!$AB$31:$AB$34,"*Feb*",'Loan Entry'!$M$31:$M$34,'Loans to Cash Flows Wkst'!Q$2)+SUMIFS('Loan Entry'!$W$47:$W$50,'Loan Entry'!$D$47:$D$50,$C$2,'Loan Entry'!$AB$47:$AB$50,"*Feb*",'Loan Entry'!$M$47:$M$50,'Loans to Cash Flows Wkst'!Q$2)+SUMIFS('Loan Entry'!$W$55:$W$58,'Loan Entry'!$D$55:$D$58,$C$2,'Loan Entry'!$AB$55:$AB$58,"*Feb*",'Loan Entry'!$M$55:$M$58,'Loans to Cash Flows Wkst'!Q$2)+SUMIFS('Loan Entry'!$W$39:$W$42,'Loan Entry'!$D$39:$D$42,$C$2,'Loan Entry'!$AB$39:$AB$42,"*Feb*",'Loan Entry'!$M$39:$M$42,'Loans to Cash Flows Wkst'!Q$2)</f>
        <v>0</v>
      </c>
    </row>
    <row r="5" spans="2:17" x14ac:dyDescent="0.2">
      <c r="B5" s="777" t="s">
        <v>184</v>
      </c>
      <c r="C5" s="778" t="s">
        <v>6</v>
      </c>
      <c r="D5" s="779">
        <f>SUM('Loans to Cash Flows Wkst'!$H5:$K5)</f>
        <v>0</v>
      </c>
      <c r="E5" s="686">
        <f>SUM('Loans to Cash Flows Wkst'!$N5:$Q5)</f>
        <v>0</v>
      </c>
      <c r="G5" s="777" t="s">
        <v>6</v>
      </c>
      <c r="H5" s="779">
        <f>SUMIFS('Loan Entry'!$V$15:$V$18,'Loan Entry'!$D$15:$D$18,$C$2,'Loan Entry'!$AB$15:$AB$18,$C5,'Loan Entry'!$M$15:$M$18,'Loans to Cash Flows Wkst'!H$2)+SUMIFS('Loan Entry'!$V$23:$V$26,'Loan Entry'!$D$23:$D$26,$C$2,'Loan Entry'!$AB$23:$AB$26,$C5,'Loan Entry'!$M$23:$M$26,'Loans to Cash Flows Wkst'!H$2)+SUMIFS('Loan Entry'!$V$31:$V$34,'Loan Entry'!$D$31:$D$34,$C$2,'Loan Entry'!$AB$31:$AB$34,$C5,'Loan Entry'!$M$31:$M$34,'Loans to Cash Flows Wkst'!H$2)+SUMIFS('Loan Entry'!$V$47:$V$50,'Loan Entry'!$D$47:$D$50,$C$2,'Loan Entry'!$AB$47:$AB$50,$C5,'Loan Entry'!$M$47:$M$50,'Loans to Cash Flows Wkst'!H$2) +SUMIFS('Loan Entry'!$V$55:$V$58,'Loan Entry'!$D$55:$D$58,$C$2,'Loan Entry'!$AB$55:$AB$58,$C5,'Loan Entry'!$M$55:$M$58,'Loans to Cash Flows Wkst'!H$2)+SUMIFS('Loan Entry'!$V$39:$V$42,'Loan Entry'!$D$39:$D$42,$C$2,'Loan Entry'!$AB$39:$AB$42,$C5,'Loan Entry'!$M$39:$M$42,'Loans to Cash Flows Wkst'!H$2)</f>
        <v>0</v>
      </c>
      <c r="I5" s="686">
        <f>SUMIFS('Loan Entry'!$V$15:$V$18,'Loan Entry'!$D$15:$D$18,$C$2,'Loan Entry'!$AB$15:$AB$18,"*Mar*",'Loan Entry'!$M$15:$M$18,'Loans to Cash Flows Wkst'!I$2)+SUMIFS('Loan Entry'!$V$23:$V$26,'Loan Entry'!$D$23:$D$26,$C$2,'Loan Entry'!$AB$23:$AB$26,"*Mar*",'Loan Entry'!$M$23:$M$26,'Loans to Cash Flows Wkst'!I$2)+SUMIFS('Loan Entry'!$V$31:$V$34,'Loan Entry'!$D$31:$D$34,$C$2,'Loan Entry'!$AB$31:$AB$34,"*Mar*",'Loan Entry'!$M$31:$M$34,'Loans to Cash Flows Wkst'!I$2)+SUMIFS('Loan Entry'!$V$47:$V$50,'Loan Entry'!$D$47:$D$50,$C$2,'Loan Entry'!$AB$47:$AB$50,"*Mar*",'Loan Entry'!$M$47:$M$50,'Loans to Cash Flows Wkst'!I$2)+SUMIFS('Loan Entry'!$V$55:$V$58,'Loan Entry'!$D$55:$D$58,$C$2,'Loan Entry'!$AB$55:$AB$58,"*Mar*",'Loan Entry'!$M$55:$M$58,'Loans to Cash Flows Wkst'!I$2)+SUMIFS('Loan Entry'!$V$39:$V$42,'Loan Entry'!$D$39:$D$42,$C$2,'Loan Entry'!$AB$39:$AB$42,"*Mar*",'Loan Entry'!$M$39:$M$42,'Loans to Cash Flows Wkst'!I$2)</f>
        <v>0</v>
      </c>
      <c r="J5" s="686">
        <f>SUMIFS('Loan Entry'!$V$15:$V$18,'Loan Entry'!$D$15:$D$18,$C$2,'Loan Entry'!$AB$15:$AB$18,"*Mar*",'Loan Entry'!$M$15:$M$18,'Loans to Cash Flows Wkst'!J$2)+SUMIFS('Loan Entry'!$V$23:$V$26,'Loan Entry'!$D$23:$D$26,$C$2,'Loan Entry'!$AB$23:$AB$26,"*Mar*",'Loan Entry'!$M$23:$M$26,'Loans to Cash Flows Wkst'!J$2)+SUMIFS('Loan Entry'!$V$31:$V$34,'Loan Entry'!$D$31:$D$34,$C$2,'Loan Entry'!$AB$31:$AB$34,"*Mar*",'Loan Entry'!$M$31:$M$34,'Loans to Cash Flows Wkst'!J$2)+SUMIFS('Loan Entry'!$V$47:$V$50,'Loan Entry'!$D$47:$D$50,$C$2,'Loan Entry'!$AB$47:$AB$50,"*Mar*",'Loan Entry'!$M$47:$M$50,'Loans to Cash Flows Wkst'!J$2) +SUMIFS('Loan Entry'!$V$55:$V$58,'Loan Entry'!$D$55:$D$58,$C$2,'Loan Entry'!$AB$55:$AB$58,"*Mar*",'Loan Entry'!$M$55:$M$58,'Loans to Cash Flows Wkst'!J$2)+SUMIFS('Loan Entry'!$V$39:$V$42,'Loan Entry'!$D$39:$D$42,$C$2,'Loan Entry'!$AB$39:$AB$42,"*Mar*",'Loan Entry'!$M$39:$M$42,'Loans to Cash Flows Wkst'!J$2)</f>
        <v>0</v>
      </c>
      <c r="K5" s="686">
        <f>SUMIFS('Loan Entry'!$V$15:$V$18,'Loan Entry'!$D$15:$D$18,$C$2,'Loan Entry'!$AB$15:$AB$18,"*Mar*",'Loan Entry'!$M$15:$M$18,'Loans to Cash Flows Wkst'!K$2)+SUMIFS('Loan Entry'!$V$23:$V$26,'Loan Entry'!$D$23:$D$26,$C$2,'Loan Entry'!$AB$23:$AB$26,"*Mar*",'Loan Entry'!$M$23:$M$26,'Loans to Cash Flows Wkst'!K$2)+SUMIFS('Loan Entry'!$V$31:$V$34,'Loan Entry'!$D$31:$D$34,$C$2,'Loan Entry'!$AB$31:$AB$34,"*Mar*",'Loan Entry'!$M$31:$M$34,'Loans to Cash Flows Wkst'!K$2)+SUMIFS('Loan Entry'!$V$47:$V$50,'Loan Entry'!$D$47:$D$50,$C$2,'Loan Entry'!$AB$47:$AB$50,"*Mar*",'Loan Entry'!$M$47:$M$50,'Loans to Cash Flows Wkst'!K$2) +SUMIFS('Loan Entry'!$V$55:$V$58,'Loan Entry'!$D$55:$D$58,$C$2,'Loan Entry'!$AB$55:$AB$58,"*Mar*",'Loan Entry'!$M$55:$M$58,'Loans to Cash Flows Wkst'!K$2)+SUMIFS('Loan Entry'!$V$39:$V$42,'Loan Entry'!$D$39:$D$42,$C$2,'Loan Entry'!$AB$39:$AB$42,"*Mar*",'Loan Entry'!$M$39:$M$42,'Loans to Cash Flows Wkst'!K$2)</f>
        <v>0</v>
      </c>
      <c r="M5" s="777" t="s">
        <v>6</v>
      </c>
      <c r="N5" s="686">
        <f>SUMIFS('Loan Entry'!$W$15:$W$18,'Loan Entry'!$D$15:$D$18,$C$2,'Loan Entry'!$AB$15:$AB$18,$C5,'Loan Entry'!$M$15:$M$18,'Loans to Cash Flows Wkst'!N$2)+SUMIFS('Loan Entry'!$W$23:$W$26,'Loan Entry'!$D$23:$D$26,$C$2,'Loan Entry'!$AB$23:$AB$26,$C5,'Loan Entry'!$M$23:$M$26,'Loans to Cash Flows Wkst'!N$2)+SUMIFS('Loan Entry'!$W$31:$W$34,'Loan Entry'!$D$31:$D$34,$C$2,'Loan Entry'!$AB$31:$AB$34,$C5,'Loan Entry'!$M$31:$M$34,'Loans to Cash Flows Wkst'!N$2)+SUMIFS('Loan Entry'!$W$47:$W$50,'Loan Entry'!$D$47:$D$50,$C$2,'Loan Entry'!$AB$47:$AB$50,$C5,'Loan Entry'!$M$47:$M$50,'Loans to Cash Flows Wkst'!N$2)+SUMIFS('Loan Entry'!$W$55:$W$58,'Loan Entry'!$D$55:$D$58,$C$2,'Loan Entry'!$AB$55:$AB$58,$C5,'Loan Entry'!$M$55:$M$58,'Loans to Cash Flows Wkst'!N$2)+SUMIFS('Loan Entry'!$W$39:$W$42,'Loan Entry'!$D$39:$D$42,$C$2,'Loan Entry'!$AB$39:$AB$42,$C5,'Loan Entry'!$M$39:$M$42,'Loans to Cash Flows Wkst'!N$2)</f>
        <v>0</v>
      </c>
      <c r="O5" s="686">
        <f>SUMIFS('Loan Entry'!$W$15:$W$18,'Loan Entry'!$D$15:$D$18,$C$2,'Loan Entry'!$AB$15:$AB$18,"*Mar*",'Loan Entry'!$M$15:$M$18,'Loans to Cash Flows Wkst'!O$2)+SUMIFS('Loan Entry'!$W$23:$W$26,'Loan Entry'!$D$23:$D$26,$C$2,'Loan Entry'!$AB$23:$AB$26,"*Mar*",'Loan Entry'!$M$23:$M$26,'Loans to Cash Flows Wkst'!O$2)+SUMIFS('Loan Entry'!$W$31:$W$34,'Loan Entry'!$D$31:$D$34,$C$2,'Loan Entry'!$AB$31:$AB$34,"*Mar*",'Loan Entry'!$M$31:$M$34,'Loans to Cash Flows Wkst'!O$2)+SUMIFS('Loan Entry'!$W$47:$W$50,'Loan Entry'!$D$47:$D$50,$C$2,'Loan Entry'!$AB$47:$AB$50,"*Mar*",'Loan Entry'!$M$47:$M$50,'Loans to Cash Flows Wkst'!O$2)+SUMIFS('Loan Entry'!$W$55:$W$58,'Loan Entry'!$D$55:$D$58,$C$2,'Loan Entry'!$AB$55:$AB$58,"*Mar*",'Loan Entry'!$M$55:$M$58,'Loans to Cash Flows Wkst'!O$2)+SUMIFS('Loan Entry'!$W$39:$W$42,'Loan Entry'!$D$39:$D$42,$C$2,'Loan Entry'!$AB$39:$AB$42,"*Mar*",'Loan Entry'!$M$39:$M$42,'Loans to Cash Flows Wkst'!O$2)</f>
        <v>0</v>
      </c>
      <c r="P5" s="686">
        <f>SUMIFS('Loan Entry'!$W$15:$W$18,'Loan Entry'!$D$15:$D$18,$C$2,'Loan Entry'!$AB$15:$AB$18,"*Mar*",'Loan Entry'!$M$15:$M$18,'Loans to Cash Flows Wkst'!P$2)+SUMIFS('Loan Entry'!$W$23:$W$26,'Loan Entry'!$D$23:$D$26,$C$2,'Loan Entry'!$AB$23:$AB$26,"*Mar*",'Loan Entry'!$M$23:$M$26,'Loans to Cash Flows Wkst'!P$2)+SUMIFS('Loan Entry'!$W$31:$W$34,'Loan Entry'!$D$31:$D$34,$C$2,'Loan Entry'!$AB$31:$AB$34,"*Mar*",'Loan Entry'!$M$31:$M$34,'Loans to Cash Flows Wkst'!P$2)+SUMIFS('Loan Entry'!$W$47:$W$50,'Loan Entry'!$D$47:$D$50,$C$2,'Loan Entry'!$AB$47:$AB$50,"*Mar*",'Loan Entry'!$M$47:$M$50,'Loans to Cash Flows Wkst'!P$2)+SUMIFS('Loan Entry'!$W$55:$W$58,'Loan Entry'!$D$55:$D$58,$C$2,'Loan Entry'!$AB$55:$AB$58,"*Mar*",'Loan Entry'!$M$55:$M$58,'Loans to Cash Flows Wkst'!P$2)+SUMIFS('Loan Entry'!$W$39:$W$42,'Loan Entry'!$D$39:$D$42,$C$2,'Loan Entry'!$AB$39:$AB$42,"*Mar*",'Loan Entry'!$M$39:$M$42,'Loans to Cash Flows Wkst'!P$2)</f>
        <v>0</v>
      </c>
      <c r="Q5" s="686">
        <f>SUMIFS('Loan Entry'!$W$15:$W$18,'Loan Entry'!$D$15:$D$18,$C$2,'Loan Entry'!$AB$15:$AB$18,"*Mar*",'Loan Entry'!$M$15:$M$18,'Loans to Cash Flows Wkst'!Q$2)+SUMIFS('Loan Entry'!$W$23:$W$26,'Loan Entry'!$D$23:$D$26,$C$2,'Loan Entry'!$AB$23:$AB$26,"*Mar*",'Loan Entry'!$M$23:$M$26,'Loans to Cash Flows Wkst'!Q$2)+SUMIFS('Loan Entry'!$W$31:$W$34,'Loan Entry'!$D$31:$D$34,$C$2,'Loan Entry'!$AB$31:$AB$34,"*Mar*",'Loan Entry'!$M$31:$M$34,'Loans to Cash Flows Wkst'!Q$2)+SUMIFS('Loan Entry'!$W$47:$W$50,'Loan Entry'!$D$47:$D$50,$C$2,'Loan Entry'!$AB$47:$AB$50,"*Mar*",'Loan Entry'!$M$47:$M$50,'Loans to Cash Flows Wkst'!Q$2)+SUMIFS('Loan Entry'!$W$55:$W$58,'Loan Entry'!$D$55:$D$58,$C$2,'Loan Entry'!$AB$55:$AB$58,"*Mar*",'Loan Entry'!$M$55:$M$58,'Loans to Cash Flows Wkst'!Q$2)+SUMIFS('Loan Entry'!$W$39:$W$42,'Loan Entry'!$D$39:$D$42,$C$2,'Loan Entry'!$AB$39:$AB$42,"*Mar*",'Loan Entry'!$M$39:$M$42,'Loans to Cash Flows Wkst'!Q$2)</f>
        <v>0</v>
      </c>
    </row>
    <row r="6" spans="2:17" x14ac:dyDescent="0.2">
      <c r="B6" s="774" t="s">
        <v>185</v>
      </c>
      <c r="C6" s="780" t="s">
        <v>7</v>
      </c>
      <c r="D6" s="776">
        <f>SUM('Loans to Cash Flows Wkst'!$H6:$K6)</f>
        <v>0</v>
      </c>
      <c r="E6" s="687">
        <f>SUM('Loans to Cash Flows Wkst'!$N6:$Q6)</f>
        <v>0</v>
      </c>
      <c r="G6" s="774" t="s">
        <v>7</v>
      </c>
      <c r="H6" s="776">
        <f>SUMIFS('Loan Entry'!$V$15:$V$18,'Loan Entry'!$D$15:$D$18,$C$2,'Loan Entry'!$AB$15:$AB$18,$C6,'Loan Entry'!$M$15:$M$18,'Loans to Cash Flows Wkst'!H$2)+SUMIFS('Loan Entry'!$V$23:$V$26,'Loan Entry'!$D$23:$D$26,$C$2,'Loan Entry'!$AB$23:$AB$26,$C6,'Loan Entry'!$M$23:$M$26,'Loans to Cash Flows Wkst'!H$2)+SUMIFS('Loan Entry'!$V$31:$V$34,'Loan Entry'!$D$31:$D$34,$C$2,'Loan Entry'!$AB$31:$AB$34,$C6,'Loan Entry'!$M$31:$M$34,'Loans to Cash Flows Wkst'!H$2)+SUMIFS('Loan Entry'!$V$47:$V$50,'Loan Entry'!$D$47:$D$50,$C$2,'Loan Entry'!$AB$47:$AB$50,$C6,'Loan Entry'!$M$47:$M$50,'Loans to Cash Flows Wkst'!H$2) +SUMIFS('Loan Entry'!$V$55:$V$58,'Loan Entry'!$D$55:$D$58,$C$2,'Loan Entry'!$AB$55:$AB$58,$C6,'Loan Entry'!$M$55:$M$58,'Loans to Cash Flows Wkst'!H$2)+SUMIFS('Loan Entry'!$V$39:$V$42,'Loan Entry'!$D$39:$D$42,$C$2,'Loan Entry'!$AB$39:$AB$42,$C6,'Loan Entry'!$M$39:$M$42,'Loans to Cash Flows Wkst'!H$2)</f>
        <v>0</v>
      </c>
      <c r="I6" s="687">
        <f>SUMIFS('Loan Entry'!$V$15:$V$18,'Loan Entry'!$D$15:$D$18,$C$2,'Loan Entry'!$AB$15:$AB$18,"*Apr*",'Loan Entry'!$M$15:$M$18,'Loans to Cash Flows Wkst'!I$2)+SUMIFS('Loan Entry'!$V$23:$V$26,'Loan Entry'!$D$23:$D$26,$C$2,'Loan Entry'!$AB$23:$AB$26,"*Apr*",'Loan Entry'!$M$23:$M$26,'Loans to Cash Flows Wkst'!I$2)+SUMIFS('Loan Entry'!$V$31:$V$34,'Loan Entry'!$D$31:$D$34,$C$2,'Loan Entry'!$AB$31:$AB$34,"*Apr*",'Loan Entry'!$M$31:$M$34,'Loans to Cash Flows Wkst'!I$2)+SUMIFS('Loan Entry'!$V$47:$V$50,'Loan Entry'!$D$47:$D$50,$C$2,'Loan Entry'!$AB$47:$AB$50,"*Apr*",'Loan Entry'!$M$47:$M$50,'Loans to Cash Flows Wkst'!I$2)+SUMIFS('Loan Entry'!$V$55:$V$58,'Loan Entry'!$D$55:$D$58,$C$2,'Loan Entry'!$AB$55:$AB$58,"*Apr*",'Loan Entry'!$M$55:$M$58,'Loans to Cash Flows Wkst'!I$2)+SUMIFS('Loan Entry'!$V$39:$V$42,'Loan Entry'!$D$39:$D$42,$C$2,'Loan Entry'!$AB$39:$AB$42,"*Apr*",'Loan Entry'!$M$39:$M$42,'Loans to Cash Flows Wkst'!I$2)</f>
        <v>0</v>
      </c>
      <c r="J6" s="687">
        <f>SUMIFS('Loan Entry'!$V$15:$V$18,'Loan Entry'!$D$15:$D$18,$C$2,'Loan Entry'!$AB$15:$AB$18,"*Apr*",'Loan Entry'!$M$15:$M$18,'Loans to Cash Flows Wkst'!J$2)+SUMIFS('Loan Entry'!$V$23:$V$26,'Loan Entry'!$D$23:$D$26,$C$2,'Loan Entry'!$AB$23:$AB$26,"*Apr*",'Loan Entry'!$M$23:$M$26,'Loans to Cash Flows Wkst'!J$2)+SUMIFS('Loan Entry'!$V$31:$V$34,'Loan Entry'!$D$31:$D$34,$C$2,'Loan Entry'!$AB$31:$AB$34,"*Apr*",'Loan Entry'!$M$31:$M$34,'Loans to Cash Flows Wkst'!J$2)+SUMIFS('Loan Entry'!$V$47:$V$50,'Loan Entry'!$D$47:$D$50,$C$2,'Loan Entry'!$AB$47:$AB$50,"*Apr*",'Loan Entry'!$M$47:$M$50,'Loans to Cash Flows Wkst'!J$2) +SUMIFS('Loan Entry'!$V$55:$V$58,'Loan Entry'!$D$55:$D$58,$C$2,'Loan Entry'!$AB$55:$AB$58,"*Apr*",'Loan Entry'!$M$55:$M$58,'Loans to Cash Flows Wkst'!J$2)+SUMIFS('Loan Entry'!$V$39:$V$42,'Loan Entry'!$D$39:$D$42,$C$2,'Loan Entry'!$AB$39:$AB$42,"*Apr*",'Loan Entry'!$M$39:$M$42,'Loans to Cash Flows Wkst'!J$2)</f>
        <v>0</v>
      </c>
      <c r="K6" s="687">
        <f>SUMIFS('Loan Entry'!$V$15:$V$18,'Loan Entry'!$D$15:$D$18,$C$2,'Loan Entry'!$AB$15:$AB$18,"*Apr*",'Loan Entry'!$M$15:$M$18,'Loans to Cash Flows Wkst'!K$2)+SUMIFS('Loan Entry'!$V$23:$V$26,'Loan Entry'!$D$23:$D$26,$C$2,'Loan Entry'!$AB$23:$AB$26,"*Apr*",'Loan Entry'!$M$23:$M$26,'Loans to Cash Flows Wkst'!K$2)+SUMIFS('Loan Entry'!$V$31:$V$34,'Loan Entry'!$D$31:$D$34,$C$2,'Loan Entry'!$AB$31:$AB$34,"*Apr*",'Loan Entry'!$M$31:$M$34,'Loans to Cash Flows Wkst'!K$2)+SUMIFS('Loan Entry'!$V$47:$V$50,'Loan Entry'!$D$47:$D$50,$C$2,'Loan Entry'!$AB$47:$AB$50,"*Apr*",'Loan Entry'!$M$47:$M$50,'Loans to Cash Flows Wkst'!K$2) +SUMIFS('Loan Entry'!$V$55:$V$58,'Loan Entry'!$D$55:$D$58,$C$2,'Loan Entry'!$AB$55:$AB$58,"*Apr*",'Loan Entry'!$M$55:$M$58,'Loans to Cash Flows Wkst'!K$2)+SUMIFS('Loan Entry'!$V$39:$V$42,'Loan Entry'!$D$39:$D$42,$C$2,'Loan Entry'!$AB$39:$AB$42,"*Apr*",'Loan Entry'!$M$39:$M$42,'Loans to Cash Flows Wkst'!K$2)</f>
        <v>0</v>
      </c>
      <c r="M6" s="774" t="s">
        <v>7</v>
      </c>
      <c r="N6" s="687">
        <f>SUMIFS('Loan Entry'!$W$15:$W$18,'Loan Entry'!$D$15:$D$18,$C$2,'Loan Entry'!$AB$15:$AB$18,$C6,'Loan Entry'!$M$15:$M$18,'Loans to Cash Flows Wkst'!N$2)+SUMIFS('Loan Entry'!$W$23:$W$26,'Loan Entry'!$D$23:$D$26,$C$2,'Loan Entry'!$AB$23:$AB$26,$C6,'Loan Entry'!$M$23:$M$26,'Loans to Cash Flows Wkst'!N$2)+SUMIFS('Loan Entry'!$W$31:$W$34,'Loan Entry'!$D$31:$D$34,$C$2,'Loan Entry'!$AB$31:$AB$34,$C6,'Loan Entry'!$M$31:$M$34,'Loans to Cash Flows Wkst'!N$2)+SUMIFS('Loan Entry'!$W$47:$W$50,'Loan Entry'!$D$47:$D$50,$C$2,'Loan Entry'!$AB$47:$AB$50,$C6,'Loan Entry'!$M$47:$M$50,'Loans to Cash Flows Wkst'!N$2)+SUMIFS('Loan Entry'!$W$55:$W$58,'Loan Entry'!$D$55:$D$58,$C$2,'Loan Entry'!$AB$55:$AB$58,$C6,'Loan Entry'!$M$55:$M$58,'Loans to Cash Flows Wkst'!N$2)+SUMIFS('Loan Entry'!$W$39:$W$42,'Loan Entry'!$D$39:$D$42,$C$2,'Loan Entry'!$AB$39:$AB$42,$C6,'Loan Entry'!$M$39:$M$42,'Loans to Cash Flows Wkst'!N$2)</f>
        <v>0</v>
      </c>
      <c r="O6" s="687">
        <f>SUMIFS('Loan Entry'!$W$15:$W$18,'Loan Entry'!$D$15:$D$18,$C$2,'Loan Entry'!$AB$15:$AB$18,"*Apr*",'Loan Entry'!$M$15:$M$18,'Loans to Cash Flows Wkst'!O$2)+SUMIFS('Loan Entry'!$W$23:$W$26,'Loan Entry'!$D$23:$D$26,$C$2,'Loan Entry'!$AB$23:$AB$26,"*Apr*",'Loan Entry'!$M$23:$M$26,'Loans to Cash Flows Wkst'!O$2)+SUMIFS('Loan Entry'!$W$31:$W$34,'Loan Entry'!$D$31:$D$34,$C$2,'Loan Entry'!$AB$31:$AB$34,"*Apr*",'Loan Entry'!$M$31:$M$34,'Loans to Cash Flows Wkst'!O$2)+SUMIFS('Loan Entry'!$W$47:$W$50,'Loan Entry'!$D$47:$D$50,$C$2,'Loan Entry'!$AB$47:$AB$50,"*Apr*",'Loan Entry'!$M$47:$M$50,'Loans to Cash Flows Wkst'!O$2)+SUMIFS('Loan Entry'!$W$55:$W$58,'Loan Entry'!$D$55:$D$58,$C$2,'Loan Entry'!$AB$55:$AB$58,"*Apr*",'Loan Entry'!$M$55:$M$58,'Loans to Cash Flows Wkst'!O$2)+SUMIFS('Loan Entry'!$W$39:$W$42,'Loan Entry'!$D$39:$D$42,$C$2,'Loan Entry'!$AB$39:$AB$42,"*Apr*",'Loan Entry'!$M$39:$M$42,'Loans to Cash Flows Wkst'!O$2)</f>
        <v>0</v>
      </c>
      <c r="P6" s="687">
        <f>SUMIFS('Loan Entry'!$W$15:$W$18,'Loan Entry'!$D$15:$D$18,$C$2,'Loan Entry'!$AB$15:$AB$18,"*Apr*",'Loan Entry'!$M$15:$M$18,'Loans to Cash Flows Wkst'!P$2)+SUMIFS('Loan Entry'!$W$23:$W$26,'Loan Entry'!$D$23:$D$26,$C$2,'Loan Entry'!$AB$23:$AB$26,"*Apr*",'Loan Entry'!$M$23:$M$26,'Loans to Cash Flows Wkst'!P$2)+SUMIFS('Loan Entry'!$W$31:$W$34,'Loan Entry'!$D$31:$D$34,$C$2,'Loan Entry'!$AB$31:$AB$34,"*Apr*",'Loan Entry'!$M$31:$M$34,'Loans to Cash Flows Wkst'!P$2)+SUMIFS('Loan Entry'!$W$47:$W$50,'Loan Entry'!$D$47:$D$50,$C$2,'Loan Entry'!$AB$47:$AB$50,"*Apr*",'Loan Entry'!$M$47:$M$50,'Loans to Cash Flows Wkst'!P$2)+SUMIFS('Loan Entry'!$W$55:$W$58,'Loan Entry'!$D$55:$D$58,$C$2,'Loan Entry'!$AB$55:$AB$58,"*Apr*",'Loan Entry'!$M$55:$M$58,'Loans to Cash Flows Wkst'!P$2)+SUMIFS('Loan Entry'!$W$39:$W$42,'Loan Entry'!$D$39:$D$42,$C$2,'Loan Entry'!$AB$39:$AB$42,"*Apr*",'Loan Entry'!$M$39:$M$42,'Loans to Cash Flows Wkst'!P$2)</f>
        <v>0</v>
      </c>
      <c r="Q6" s="687">
        <f>SUMIFS('Loan Entry'!$W$15:$W$18,'Loan Entry'!$D$15:$D$18,$C$2,'Loan Entry'!$AB$15:$AB$18,"*Apr*",'Loan Entry'!$M$15:$M$18,'Loans to Cash Flows Wkst'!Q$2)+SUMIFS('Loan Entry'!$W$23:$W$26,'Loan Entry'!$D$23:$D$26,$C$2,'Loan Entry'!$AB$23:$AB$26,"*Apr*",'Loan Entry'!$M$23:$M$26,'Loans to Cash Flows Wkst'!Q$2)+SUMIFS('Loan Entry'!$W$31:$W$34,'Loan Entry'!$D$31:$D$34,$C$2,'Loan Entry'!$AB$31:$AB$34,"*Apr*",'Loan Entry'!$M$31:$M$34,'Loans to Cash Flows Wkst'!Q$2)+SUMIFS('Loan Entry'!$W$47:$W$50,'Loan Entry'!$D$47:$D$50,$C$2,'Loan Entry'!$AB$47:$AB$50,"*Apr*",'Loan Entry'!$M$47:$M$50,'Loans to Cash Flows Wkst'!Q$2)+SUMIFS('Loan Entry'!$W$55:$W$58,'Loan Entry'!$D$55:$D$58,$C$2,'Loan Entry'!$AB$55:$AB$58,"*Apr*",'Loan Entry'!$M$55:$M$58,'Loans to Cash Flows Wkst'!Q$2)+SUMIFS('Loan Entry'!$W$39:$W$42,'Loan Entry'!$D$39:$D$42,$C$2,'Loan Entry'!$AB$39:$AB$42,"*Apr*",'Loan Entry'!$M$39:$M$42,'Loans to Cash Flows Wkst'!Q$2)</f>
        <v>0</v>
      </c>
    </row>
    <row r="7" spans="2:17" x14ac:dyDescent="0.2">
      <c r="B7" s="777" t="s">
        <v>3</v>
      </c>
      <c r="C7" s="778" t="s">
        <v>3</v>
      </c>
      <c r="D7" s="779">
        <f>SUM('Loans to Cash Flows Wkst'!$H7:$K7)</f>
        <v>0</v>
      </c>
      <c r="E7" s="686">
        <f>SUM('Loans to Cash Flows Wkst'!$N7:$Q7)</f>
        <v>0</v>
      </c>
      <c r="G7" s="777" t="s">
        <v>3</v>
      </c>
      <c r="H7" s="779">
        <f>SUMIFS('Loan Entry'!$V$15:$V$18,'Loan Entry'!$D$15:$D$18,$C$2,'Loan Entry'!$AB$15:$AB$18,$C7,'Loan Entry'!$M$15:$M$18,'Loans to Cash Flows Wkst'!H$2)+SUMIFS('Loan Entry'!$V$23:$V$26,'Loan Entry'!$D$23:$D$26,$C$2,'Loan Entry'!$AB$23:$AB$26,$C7,'Loan Entry'!$M$23:$M$26,'Loans to Cash Flows Wkst'!H$2)+SUMIFS('Loan Entry'!$V$31:$V$34,'Loan Entry'!$D$31:$D$34,$C$2,'Loan Entry'!$AB$31:$AB$34,$C7,'Loan Entry'!$M$31:$M$34,'Loans to Cash Flows Wkst'!H$2)+SUMIFS('Loan Entry'!$V$47:$V$50,'Loan Entry'!$D$47:$D$50,$C$2,'Loan Entry'!$AB$47:$AB$50,$C7,'Loan Entry'!$M$47:$M$50,'Loans to Cash Flows Wkst'!H$2) +SUMIFS('Loan Entry'!$V$55:$V$58,'Loan Entry'!$D$55:$D$58,$C$2,'Loan Entry'!$AB$55:$AB$58,$C7,'Loan Entry'!$M$55:$M$58,'Loans to Cash Flows Wkst'!H$2)+SUMIFS('Loan Entry'!$V$39:$V$42,'Loan Entry'!$D$39:$D$42,$C$2,'Loan Entry'!$AB$39:$AB$42,$C7,'Loan Entry'!$M$39:$M$42,'Loans to Cash Flows Wkst'!H$2)</f>
        <v>0</v>
      </c>
      <c r="I7" s="686">
        <f>SUMIFS('Loan Entry'!$V$15:$V$18,'Loan Entry'!$D$15:$D$18,$C$2,'Loan Entry'!$AB$15:$AB$18,"*May*",'Loan Entry'!$M$15:$M$18,'Loans to Cash Flows Wkst'!I$2)+SUMIFS('Loan Entry'!$V$23:$V$26,'Loan Entry'!$D$23:$D$26,$C$2,'Loan Entry'!$AB$23:$AB$26,"*May*",'Loan Entry'!$M$23:$M$26,'Loans to Cash Flows Wkst'!I$2)+SUMIFS('Loan Entry'!$V$31:$V$34,'Loan Entry'!$D$31:$D$34,$C$2,'Loan Entry'!$AB$31:$AB$34,"*May*",'Loan Entry'!$M$31:$M$34,'Loans to Cash Flows Wkst'!I$2)+SUMIFS('Loan Entry'!$V$47:$V$50,'Loan Entry'!$D$47:$D$50,$C$2,'Loan Entry'!$AB$47:$AB$50,"*May*",'Loan Entry'!$M$47:$M$50,'Loans to Cash Flows Wkst'!I$2)+SUMIFS('Loan Entry'!$V$55:$V$58,'Loan Entry'!$D$55:$D$58,$C$2,'Loan Entry'!$AB$55:$AB$58,"*May*",'Loan Entry'!$M$55:$M$58,'Loans to Cash Flows Wkst'!I$2)+SUMIFS('Loan Entry'!$V$39:$V$42,'Loan Entry'!$D$39:$D$42,$C$2,'Loan Entry'!$AB$39:$AB$42,"*May*",'Loan Entry'!$M$39:$M$42,'Loans to Cash Flows Wkst'!I$2)</f>
        <v>0</v>
      </c>
      <c r="J7" s="686">
        <f>SUMIFS('Loan Entry'!$V$15:$V$18,'Loan Entry'!$D$15:$D$18,$C$2,'Loan Entry'!$AB$15:$AB$18,"*May*",'Loan Entry'!$M$15:$M$18,'Loans to Cash Flows Wkst'!J$2)+SUMIFS('Loan Entry'!$V$23:$V$26,'Loan Entry'!$D$23:$D$26,$C$2,'Loan Entry'!$AB$23:$AB$26,"*May*",'Loan Entry'!$M$23:$M$26,'Loans to Cash Flows Wkst'!J$2)+SUMIFS('Loan Entry'!$V$31:$V$34,'Loan Entry'!$D$31:$D$34,$C$2,'Loan Entry'!$AB$31:$AB$34,"*May*",'Loan Entry'!$M$31:$M$34,'Loans to Cash Flows Wkst'!J$2)+SUMIFS('Loan Entry'!$V$47:$V$50,'Loan Entry'!$D$47:$D$50,$C$2,'Loan Entry'!$AB$47:$AB$50,"*May*",'Loan Entry'!$M$47:$M$50,'Loans to Cash Flows Wkst'!J$2) +SUMIFS('Loan Entry'!$V$55:$V$58,'Loan Entry'!$D$55:$D$58,$C$2,'Loan Entry'!$AB$55:$AB$58,"*May*",'Loan Entry'!$M$55:$M$58,'Loans to Cash Flows Wkst'!J$2)+SUMIFS('Loan Entry'!$V$39:$V$42,'Loan Entry'!$D$39:$D$42,$C$2,'Loan Entry'!$AB$39:$AB$42,"*May*",'Loan Entry'!$M$39:$M$42,'Loans to Cash Flows Wkst'!J$2)</f>
        <v>0</v>
      </c>
      <c r="K7" s="686">
        <f>SUMIFS('Loan Entry'!$V$15:$V$18,'Loan Entry'!$D$15:$D$18,$C$2,'Loan Entry'!$AB$15:$AB$18,"*May*",'Loan Entry'!$M$15:$M$18,'Loans to Cash Flows Wkst'!K$2)+SUMIFS('Loan Entry'!$V$23:$V$26,'Loan Entry'!$D$23:$D$26,$C$2,'Loan Entry'!$AB$23:$AB$26,"*May*",'Loan Entry'!$M$23:$M$26,'Loans to Cash Flows Wkst'!K$2)+SUMIFS('Loan Entry'!$V$31:$V$34,'Loan Entry'!$D$31:$D$34,$C$2,'Loan Entry'!$AB$31:$AB$34,"*May*",'Loan Entry'!$M$31:$M$34,'Loans to Cash Flows Wkst'!K$2)+SUMIFS('Loan Entry'!$V$47:$V$50,'Loan Entry'!$D$47:$D$50,$C$2,'Loan Entry'!$AB$47:$AB$50,"*May*",'Loan Entry'!$M$47:$M$50,'Loans to Cash Flows Wkst'!K$2) +SUMIFS('Loan Entry'!$V$55:$V$58,'Loan Entry'!$D$55:$D$58,$C$2,'Loan Entry'!$AB$55:$AB$58,"*May*",'Loan Entry'!$M$55:$M$58,'Loans to Cash Flows Wkst'!K$2)+SUMIFS('Loan Entry'!$V$39:$V$42,'Loan Entry'!$D$39:$D$42,$C$2,'Loan Entry'!$AB$39:$AB$42,"*May*",'Loan Entry'!$M$39:$M$42,'Loans to Cash Flows Wkst'!K$2)</f>
        <v>0</v>
      </c>
      <c r="M7" s="777" t="s">
        <v>3</v>
      </c>
      <c r="N7" s="686">
        <f>SUMIFS('Loan Entry'!$W$15:$W$18,'Loan Entry'!$D$15:$D$18,$C$2,'Loan Entry'!$AB$15:$AB$18,$C7,'Loan Entry'!$M$15:$M$18,'Loans to Cash Flows Wkst'!N$2)+SUMIFS('Loan Entry'!$W$23:$W$26,'Loan Entry'!$D$23:$D$26,$C$2,'Loan Entry'!$AB$23:$AB$26,$C7,'Loan Entry'!$M$23:$M$26,'Loans to Cash Flows Wkst'!N$2)+SUMIFS('Loan Entry'!$W$31:$W$34,'Loan Entry'!$D$31:$D$34,$C$2,'Loan Entry'!$AB$31:$AB$34,$C7,'Loan Entry'!$M$31:$M$34,'Loans to Cash Flows Wkst'!N$2)+SUMIFS('Loan Entry'!$W$47:$W$50,'Loan Entry'!$D$47:$D$50,$C$2,'Loan Entry'!$AB$47:$AB$50,$C7,'Loan Entry'!$M$47:$M$50,'Loans to Cash Flows Wkst'!N$2)+SUMIFS('Loan Entry'!$W$55:$W$58,'Loan Entry'!$D$55:$D$58,$C$2,'Loan Entry'!$AB$55:$AB$58,$C7,'Loan Entry'!$M$55:$M$58,'Loans to Cash Flows Wkst'!N$2)+SUMIFS('Loan Entry'!$W$39:$W$42,'Loan Entry'!$D$39:$D$42,$C$2,'Loan Entry'!$AB$39:$AB$42,$C7,'Loan Entry'!$M$39:$M$42,'Loans to Cash Flows Wkst'!N$2)</f>
        <v>0</v>
      </c>
      <c r="O7" s="686">
        <f>SUMIFS('Loan Entry'!$W$15:$W$18,'Loan Entry'!$D$15:$D$18,$C$2,'Loan Entry'!$AB$15:$AB$18,"*May*",'Loan Entry'!$M$15:$M$18,'Loans to Cash Flows Wkst'!O$2)+SUMIFS('Loan Entry'!$W$23:$W$26,'Loan Entry'!$D$23:$D$26,$C$2,'Loan Entry'!$AB$23:$AB$26,"*May*",'Loan Entry'!$M$23:$M$26,'Loans to Cash Flows Wkst'!O$2)+SUMIFS('Loan Entry'!$W$31:$W$34,'Loan Entry'!$D$31:$D$34,$C$2,'Loan Entry'!$AB$31:$AB$34,"*May*",'Loan Entry'!$M$31:$M$34,'Loans to Cash Flows Wkst'!O$2)+SUMIFS('Loan Entry'!$W$47:$W$50,'Loan Entry'!$D$47:$D$50,$C$2,'Loan Entry'!$AB$47:$AB$50,"*May*",'Loan Entry'!$M$47:$M$50,'Loans to Cash Flows Wkst'!O$2)+SUMIFS('Loan Entry'!$W$55:$W$58,'Loan Entry'!$D$55:$D$58,$C$2,'Loan Entry'!$AB$55:$AB$58,"*May*",'Loan Entry'!$M$55:$M$58,'Loans to Cash Flows Wkst'!O$2)+SUMIFS('Loan Entry'!$W$39:$W$42,'Loan Entry'!$D$39:$D$42,$C$2,'Loan Entry'!$AB$39:$AB$42,"*May*",'Loan Entry'!$M$39:$M$42,'Loans to Cash Flows Wkst'!O$2)</f>
        <v>0</v>
      </c>
      <c r="P7" s="686">
        <f>SUMIFS('Loan Entry'!$W$15:$W$18,'Loan Entry'!$D$15:$D$18,$C$2,'Loan Entry'!$AB$15:$AB$18,"*May*",'Loan Entry'!$M$15:$M$18,'Loans to Cash Flows Wkst'!P$2)+SUMIFS('Loan Entry'!$W$23:$W$26,'Loan Entry'!$D$23:$D$26,$C$2,'Loan Entry'!$AB$23:$AB$26,"*May*",'Loan Entry'!$M$23:$M$26,'Loans to Cash Flows Wkst'!P$2)+SUMIFS('Loan Entry'!$W$31:$W$34,'Loan Entry'!$D$31:$D$34,$C$2,'Loan Entry'!$AB$31:$AB$34,"*May*",'Loan Entry'!$M$31:$M$34,'Loans to Cash Flows Wkst'!P$2)+SUMIFS('Loan Entry'!$W$47:$W$50,'Loan Entry'!$D$47:$D$50,$C$2,'Loan Entry'!$AB$47:$AB$50,"*May*",'Loan Entry'!$M$47:$M$50,'Loans to Cash Flows Wkst'!P$2)+SUMIFS('Loan Entry'!$W$55:$W$58,'Loan Entry'!$D$55:$D$58,$C$2,'Loan Entry'!$AB$55:$AB$58,"*May*",'Loan Entry'!$M$55:$M$58,'Loans to Cash Flows Wkst'!P$2)+SUMIFS('Loan Entry'!$W$39:$W$42,'Loan Entry'!$D$39:$D$42,$C$2,'Loan Entry'!$AB$39:$AB$42,"*May*",'Loan Entry'!$M$39:$M$42,'Loans to Cash Flows Wkst'!P$2)</f>
        <v>0</v>
      </c>
      <c r="Q7" s="686">
        <f>SUMIFS('Loan Entry'!$W$15:$W$18,'Loan Entry'!$D$15:$D$18,$C$2,'Loan Entry'!$AB$15:$AB$18,"*May*",'Loan Entry'!$M$15:$M$18,'Loans to Cash Flows Wkst'!Q$2)+SUMIFS('Loan Entry'!$W$23:$W$26,'Loan Entry'!$D$23:$D$26,$C$2,'Loan Entry'!$AB$23:$AB$26,"*May*",'Loan Entry'!$M$23:$M$26,'Loans to Cash Flows Wkst'!Q$2)+SUMIFS('Loan Entry'!$W$31:$W$34,'Loan Entry'!$D$31:$D$34,$C$2,'Loan Entry'!$AB$31:$AB$34,"*May*",'Loan Entry'!$M$31:$M$34,'Loans to Cash Flows Wkst'!Q$2)+SUMIFS('Loan Entry'!$W$47:$W$50,'Loan Entry'!$D$47:$D$50,$C$2,'Loan Entry'!$AB$47:$AB$50,"*May*",'Loan Entry'!$M$47:$M$50,'Loans to Cash Flows Wkst'!Q$2)+SUMIFS('Loan Entry'!$W$55:$W$58,'Loan Entry'!$D$55:$D$58,$C$2,'Loan Entry'!$AB$55:$AB$58,"*May*",'Loan Entry'!$M$55:$M$58,'Loans to Cash Flows Wkst'!Q$2)+SUMIFS('Loan Entry'!$W$39:$W$42,'Loan Entry'!$D$39:$D$42,$C$2,'Loan Entry'!$AB$39:$AB$42,"*May*",'Loan Entry'!$M$39:$M$42,'Loans to Cash Flows Wkst'!Q$2)</f>
        <v>0</v>
      </c>
    </row>
    <row r="8" spans="2:17" x14ac:dyDescent="0.2">
      <c r="B8" s="774" t="s">
        <v>186</v>
      </c>
      <c r="C8" s="780" t="s">
        <v>8</v>
      </c>
      <c r="D8" s="776">
        <f>SUM('Loans to Cash Flows Wkst'!$H8:$K8)</f>
        <v>0</v>
      </c>
      <c r="E8" s="687">
        <f>SUM('Loans to Cash Flows Wkst'!$N8:$Q8)</f>
        <v>0</v>
      </c>
      <c r="G8" s="774" t="s">
        <v>8</v>
      </c>
      <c r="H8" s="776">
        <f>SUMIFS('Loan Entry'!$V$15:$V$18,'Loan Entry'!$D$15:$D$18,$C$2,'Loan Entry'!$AB$15:$AB$18,$C8,'Loan Entry'!$M$15:$M$18,'Loans to Cash Flows Wkst'!H$2)+SUMIFS('Loan Entry'!$V$23:$V$26,'Loan Entry'!$D$23:$D$26,$C$2,'Loan Entry'!$AB$23:$AB$26,$C8,'Loan Entry'!$M$23:$M$26,'Loans to Cash Flows Wkst'!H$2)+SUMIFS('Loan Entry'!$V$31:$V$34,'Loan Entry'!$D$31:$D$34,$C$2,'Loan Entry'!$AB$31:$AB$34,$C8,'Loan Entry'!$M$31:$M$34,'Loans to Cash Flows Wkst'!H$2)+SUMIFS('Loan Entry'!$V$47:$V$50,'Loan Entry'!$D$47:$D$50,$C$2,'Loan Entry'!$AB$47:$AB$50,$C8,'Loan Entry'!$M$47:$M$50,'Loans to Cash Flows Wkst'!H$2) +SUMIFS('Loan Entry'!$V$55:$V$58,'Loan Entry'!$D$55:$D$58,$C$2,'Loan Entry'!$AB$55:$AB$58,$C8,'Loan Entry'!$M$55:$M$58,'Loans to Cash Flows Wkst'!H$2)+SUMIFS('Loan Entry'!$V$39:$V$42,'Loan Entry'!$D$39:$D$42,$C$2,'Loan Entry'!$AB$39:$AB$42,$C8,'Loan Entry'!$M$39:$M$42,'Loans to Cash Flows Wkst'!H$2)</f>
        <v>0</v>
      </c>
      <c r="I8" s="687">
        <f>SUMIFS('Loan Entry'!$V$15:$V$18,'Loan Entry'!$D$15:$D$18,$C$2,'Loan Entry'!$AB$15:$AB$18,"*Jun*",'Loan Entry'!$M$15:$M$18,'Loans to Cash Flows Wkst'!I$2)+SUMIFS('Loan Entry'!$V$23:$V$26,'Loan Entry'!$D$23:$D$26,$C$2,'Loan Entry'!$AB$23:$AB$26,"*Jun*",'Loan Entry'!$M$23:$M$26,'Loans to Cash Flows Wkst'!I$2)+SUMIFS('Loan Entry'!$V$31:$V$34,'Loan Entry'!$D$31:$D$34,$C$2,'Loan Entry'!$AB$31:$AB$34,"*Jun*",'Loan Entry'!$M$31:$M$34,'Loans to Cash Flows Wkst'!I$2)+SUMIFS('Loan Entry'!$V$47:$V$50,'Loan Entry'!$D$47:$D$50,$C$2,'Loan Entry'!$AB$47:$AB$50,"*Jun*",'Loan Entry'!$M$47:$M$50,'Loans to Cash Flows Wkst'!I$2)+SUMIFS('Loan Entry'!$V$55:$V$58,'Loan Entry'!$D$55:$D$58,$C$2,'Loan Entry'!$AB$55:$AB$58,"*Jun*",'Loan Entry'!$M$55:$M$58,'Loans to Cash Flows Wkst'!I$2)+SUMIFS('Loan Entry'!$V$39:$V$42,'Loan Entry'!$D$39:$D$42,$C$2,'Loan Entry'!$AB$39:$AB$42,"*Jun*",'Loan Entry'!$M$39:$M$42,'Loans to Cash Flows Wkst'!I$2)</f>
        <v>0</v>
      </c>
      <c r="J8" s="687">
        <f>SUMIFS('Loan Entry'!$V$15:$V$18,'Loan Entry'!$D$15:$D$18,$C$2,'Loan Entry'!$AB$15:$AB$18,"*Jun*",'Loan Entry'!$M$15:$M$18,'Loans to Cash Flows Wkst'!J$2)+SUMIFS('Loan Entry'!$V$23:$V$26,'Loan Entry'!$D$23:$D$26,$C$2,'Loan Entry'!$AB$23:$AB$26,"*Jun*",'Loan Entry'!$M$23:$M$26,'Loans to Cash Flows Wkst'!J$2)+SUMIFS('Loan Entry'!$V$31:$V$34,'Loan Entry'!$D$31:$D$34,$C$2,'Loan Entry'!$AB$31:$AB$34,"*Jun*",'Loan Entry'!$M$31:$M$34,'Loans to Cash Flows Wkst'!J$2)+SUMIFS('Loan Entry'!$V$47:$V$50,'Loan Entry'!$D$47:$D$50,$C$2,'Loan Entry'!$AB$47:$AB$50,"*Jun*",'Loan Entry'!$M$47:$M$50,'Loans to Cash Flows Wkst'!J$2) +SUMIFS('Loan Entry'!$V$55:$V$58,'Loan Entry'!$D$55:$D$58,$C$2,'Loan Entry'!$AB$55:$AB$58,"*Jun*",'Loan Entry'!$M$55:$M$58,'Loans to Cash Flows Wkst'!J$2)+SUMIFS('Loan Entry'!$V$39:$V$42,'Loan Entry'!$D$39:$D$42,$C$2,'Loan Entry'!$AB$39:$AB$42,"*Jun*",'Loan Entry'!$M$39:$M$42,'Loans to Cash Flows Wkst'!J$2)</f>
        <v>0</v>
      </c>
      <c r="K8" s="687">
        <f>SUMIFS('Loan Entry'!$V$15:$V$18,'Loan Entry'!$D$15:$D$18,$C$2,'Loan Entry'!$AB$15:$AB$18,"*Jun*",'Loan Entry'!$M$15:$M$18,'Loans to Cash Flows Wkst'!K$2)+SUMIFS('Loan Entry'!$V$23:$V$26,'Loan Entry'!$D$23:$D$26,$C$2,'Loan Entry'!$AB$23:$AB$26,"*Jun*",'Loan Entry'!$M$23:$M$26,'Loans to Cash Flows Wkst'!K$2)+SUMIFS('Loan Entry'!$V$31:$V$34,'Loan Entry'!$D$31:$D$34,$C$2,'Loan Entry'!$AB$31:$AB$34,"*Jun*",'Loan Entry'!$M$31:$M$34,'Loans to Cash Flows Wkst'!K$2)+SUMIFS('Loan Entry'!$V$47:$V$50,'Loan Entry'!$D$47:$D$50,$C$2,'Loan Entry'!$AB$47:$AB$50,"*Jun*",'Loan Entry'!$M$47:$M$50,'Loans to Cash Flows Wkst'!K$2) +SUMIFS('Loan Entry'!$V$55:$V$58,'Loan Entry'!$D$55:$D$58,$C$2,'Loan Entry'!$AB$55:$AB$58,"*Jun*",'Loan Entry'!$M$55:$M$58,'Loans to Cash Flows Wkst'!K$2)+SUMIFS('Loan Entry'!$V$39:$V$42,'Loan Entry'!$D$39:$D$42,$C$2,'Loan Entry'!$AB$39:$AB$42,"*Jun*",'Loan Entry'!$M$39:$M$42,'Loans to Cash Flows Wkst'!K$2)</f>
        <v>0</v>
      </c>
      <c r="M8" s="774" t="s">
        <v>8</v>
      </c>
      <c r="N8" s="687">
        <f>SUMIFS('Loan Entry'!$W$15:$W$18,'Loan Entry'!$D$15:$D$18,$C$2,'Loan Entry'!$AB$15:$AB$18,$C8,'Loan Entry'!$M$15:$M$18,'Loans to Cash Flows Wkst'!N$2)+SUMIFS('Loan Entry'!$W$23:$W$26,'Loan Entry'!$D$23:$D$26,$C$2,'Loan Entry'!$AB$23:$AB$26,$C8,'Loan Entry'!$M$23:$M$26,'Loans to Cash Flows Wkst'!N$2)+SUMIFS('Loan Entry'!$W$31:$W$34,'Loan Entry'!$D$31:$D$34,$C$2,'Loan Entry'!$AB$31:$AB$34,$C8,'Loan Entry'!$M$31:$M$34,'Loans to Cash Flows Wkst'!N$2)+SUMIFS('Loan Entry'!$W$47:$W$50,'Loan Entry'!$D$47:$D$50,$C$2,'Loan Entry'!$AB$47:$AB$50,$C8,'Loan Entry'!$M$47:$M$50,'Loans to Cash Flows Wkst'!N$2)+SUMIFS('Loan Entry'!$W$55:$W$58,'Loan Entry'!$D$55:$D$58,$C$2,'Loan Entry'!$AB$55:$AB$58,$C8,'Loan Entry'!$M$55:$M$58,'Loans to Cash Flows Wkst'!N$2)+SUMIFS('Loan Entry'!$W$39:$W$42,'Loan Entry'!$D$39:$D$42,$C$2,'Loan Entry'!$AB$39:$AB$42,$C8,'Loan Entry'!$M$39:$M$42,'Loans to Cash Flows Wkst'!N$2)</f>
        <v>0</v>
      </c>
      <c r="O8" s="687">
        <f>SUMIFS('Loan Entry'!$W$15:$W$18,'Loan Entry'!$D$15:$D$18,$C$2,'Loan Entry'!$AB$15:$AB$18,"*Jun*",'Loan Entry'!$M$15:$M$18,'Loans to Cash Flows Wkst'!O$2)+SUMIFS('Loan Entry'!$W$23:$W$26,'Loan Entry'!$D$23:$D$26,$C$2,'Loan Entry'!$AB$23:$AB$26,"*Jun*",'Loan Entry'!$M$23:$M$26,'Loans to Cash Flows Wkst'!O$2)+SUMIFS('Loan Entry'!$W$31:$W$34,'Loan Entry'!$D$31:$D$34,$C$2,'Loan Entry'!$AB$31:$AB$34,"*Jun*",'Loan Entry'!$M$31:$M$34,'Loans to Cash Flows Wkst'!O$2)+SUMIFS('Loan Entry'!$W$47:$W$50,'Loan Entry'!$D$47:$D$50,$C$2,'Loan Entry'!$AB$47:$AB$50,"*Jun*",'Loan Entry'!$M$47:$M$50,'Loans to Cash Flows Wkst'!O$2)+SUMIFS('Loan Entry'!$W$55:$W$58,'Loan Entry'!$D$55:$D$58,$C$2,'Loan Entry'!$AB$55:$AB$58,"*Jun*",'Loan Entry'!$M$55:$M$58,'Loans to Cash Flows Wkst'!O$2)+SUMIFS('Loan Entry'!$W$39:$W$42,'Loan Entry'!$D$39:$D$42,$C$2,'Loan Entry'!$AB$39:$AB$42,"*Jun*",'Loan Entry'!$M$39:$M$42,'Loans to Cash Flows Wkst'!O$2)</f>
        <v>0</v>
      </c>
      <c r="P8" s="687">
        <f>SUMIFS('Loan Entry'!$W$15:$W$18,'Loan Entry'!$D$15:$D$18,$C$2,'Loan Entry'!$AB$15:$AB$18,"*Jun*",'Loan Entry'!$M$15:$M$18,'Loans to Cash Flows Wkst'!P$2)+SUMIFS('Loan Entry'!$W$23:$W$26,'Loan Entry'!$D$23:$D$26,$C$2,'Loan Entry'!$AB$23:$AB$26,"*Jun*",'Loan Entry'!$M$23:$M$26,'Loans to Cash Flows Wkst'!P$2)+SUMIFS('Loan Entry'!$W$31:$W$34,'Loan Entry'!$D$31:$D$34,$C$2,'Loan Entry'!$AB$31:$AB$34,"*Jun*",'Loan Entry'!$M$31:$M$34,'Loans to Cash Flows Wkst'!P$2)+SUMIFS('Loan Entry'!$W$47:$W$50,'Loan Entry'!$D$47:$D$50,$C$2,'Loan Entry'!$AB$47:$AB$50,"*Jun*",'Loan Entry'!$M$47:$M$50,'Loans to Cash Flows Wkst'!P$2)+SUMIFS('Loan Entry'!$W$55:$W$58,'Loan Entry'!$D$55:$D$58,$C$2,'Loan Entry'!$AB$55:$AB$58,"*Jun*",'Loan Entry'!$M$55:$M$58,'Loans to Cash Flows Wkst'!P$2)+SUMIFS('Loan Entry'!$W$39:$W$42,'Loan Entry'!$D$39:$D$42,$C$2,'Loan Entry'!$AB$39:$AB$42,"*Jun*",'Loan Entry'!$M$39:$M$42,'Loans to Cash Flows Wkst'!P$2)</f>
        <v>0</v>
      </c>
      <c r="Q8" s="687">
        <f>SUMIFS('Loan Entry'!$W$15:$W$18,'Loan Entry'!$D$15:$D$18,$C$2,'Loan Entry'!$AB$15:$AB$18,"*Jun*",'Loan Entry'!$M$15:$M$18,'Loans to Cash Flows Wkst'!Q$2)+SUMIFS('Loan Entry'!$W$23:$W$26,'Loan Entry'!$D$23:$D$26,$C$2,'Loan Entry'!$AB$23:$AB$26,"*Jun*",'Loan Entry'!$M$23:$M$26,'Loans to Cash Flows Wkst'!Q$2)+SUMIFS('Loan Entry'!$W$31:$W$34,'Loan Entry'!$D$31:$D$34,$C$2,'Loan Entry'!$AB$31:$AB$34,"*Jun*",'Loan Entry'!$M$31:$M$34,'Loans to Cash Flows Wkst'!Q$2)+SUMIFS('Loan Entry'!$W$47:$W$50,'Loan Entry'!$D$47:$D$50,$C$2,'Loan Entry'!$AB$47:$AB$50,"*Jun*",'Loan Entry'!$M$47:$M$50,'Loans to Cash Flows Wkst'!Q$2)+SUMIFS('Loan Entry'!$W$55:$W$58,'Loan Entry'!$D$55:$D$58,$C$2,'Loan Entry'!$AB$55:$AB$58,"*Jun*",'Loan Entry'!$M$55:$M$58,'Loans to Cash Flows Wkst'!Q$2)+SUMIFS('Loan Entry'!$W$39:$W$42,'Loan Entry'!$D$39:$D$42,$C$2,'Loan Entry'!$AB$39:$AB$42,"*Jun*",'Loan Entry'!$M$39:$M$42,'Loans to Cash Flows Wkst'!Q$2)</f>
        <v>0</v>
      </c>
    </row>
    <row r="9" spans="2:17" x14ac:dyDescent="0.2">
      <c r="B9" s="777" t="s">
        <v>187</v>
      </c>
      <c r="C9" s="778" t="s">
        <v>9</v>
      </c>
      <c r="D9" s="779">
        <f>SUM('Loans to Cash Flows Wkst'!$H9:$K9)</f>
        <v>0</v>
      </c>
      <c r="E9" s="686">
        <f>SUM('Loans to Cash Flows Wkst'!$N9:$Q9)</f>
        <v>0</v>
      </c>
      <c r="G9" s="777" t="s">
        <v>9</v>
      </c>
      <c r="H9" s="779">
        <f>SUMIFS('Loan Entry'!$V$15:$V$18,'Loan Entry'!$D$15:$D$18,$C$2,'Loan Entry'!$AB$15:$AB$18,$C9,'Loan Entry'!$M$15:$M$18,'Loans to Cash Flows Wkst'!H$2)+SUMIFS('Loan Entry'!$V$23:$V$26,'Loan Entry'!$D$23:$D$26,$C$2,'Loan Entry'!$AB$23:$AB$26,$C9,'Loan Entry'!$M$23:$M$26,'Loans to Cash Flows Wkst'!H$2)+SUMIFS('Loan Entry'!$V$31:$V$34,'Loan Entry'!$D$31:$D$34,$C$2,'Loan Entry'!$AB$31:$AB$34,$C9,'Loan Entry'!$M$31:$M$34,'Loans to Cash Flows Wkst'!H$2)+SUMIFS('Loan Entry'!$V$47:$V$50,'Loan Entry'!$D$47:$D$50,$C$2,'Loan Entry'!$AB$47:$AB$50,$C9,'Loan Entry'!$M$47:$M$50,'Loans to Cash Flows Wkst'!H$2) +SUMIFS('Loan Entry'!$V$55:$V$58,'Loan Entry'!$D$55:$D$58,$C$2,'Loan Entry'!$AB$55:$AB$58,$C9,'Loan Entry'!$M$55:$M$58,'Loans to Cash Flows Wkst'!H$2)+SUMIFS('Loan Entry'!$V$39:$V$42,'Loan Entry'!$D$39:$D$42,$C$2,'Loan Entry'!$AB$39:$AB$42,$C9,'Loan Entry'!$M$39:$M$42,'Loans to Cash Flows Wkst'!H$2)</f>
        <v>0</v>
      </c>
      <c r="I9" s="686">
        <f>SUMIFS('Loan Entry'!$V$15:$V$18,'Loan Entry'!$D$15:$D$18,$C$2,'Loan Entry'!$AB$15:$AB$18,"*Jul*",'Loan Entry'!$M$15:$M$18,'Loans to Cash Flows Wkst'!I$2)+SUMIFS('Loan Entry'!$V$23:$V$26,'Loan Entry'!$D$23:$D$26,$C$2,'Loan Entry'!$AB$23:$AB$26,"*Jul*",'Loan Entry'!$M$23:$M$26,'Loans to Cash Flows Wkst'!I$2)+SUMIFS('Loan Entry'!$V$31:$V$34,'Loan Entry'!$D$31:$D$34,$C$2,'Loan Entry'!$AB$31:$AB$34,"*Jul*",'Loan Entry'!$M$31:$M$34,'Loans to Cash Flows Wkst'!I$2)+SUMIFS('Loan Entry'!$V$47:$V$50,'Loan Entry'!$D$47:$D$50,$C$2,'Loan Entry'!$AB$47:$AB$50,"*Jul*",'Loan Entry'!$M$47:$M$50,'Loans to Cash Flows Wkst'!I$2)+SUMIFS('Loan Entry'!$V$55:$V$58,'Loan Entry'!$D$55:$D$58,$C$2,'Loan Entry'!$AB$55:$AB$58,"*Jul*",'Loan Entry'!$M$55:$M$58,'Loans to Cash Flows Wkst'!I$2)+SUMIFS('Loan Entry'!$V$39:$V$42,'Loan Entry'!$D$39:$D$42,$C$2,'Loan Entry'!$AB$39:$AB$42,"*Jul*",'Loan Entry'!$M$39:$M$42,'Loans to Cash Flows Wkst'!I$2)</f>
        <v>0</v>
      </c>
      <c r="J9" s="686">
        <f>SUMIFS('Loan Entry'!$V$15:$V$18,'Loan Entry'!$D$15:$D$18,$C$2,'Loan Entry'!$AB$15:$AB$18,"*Jul*",'Loan Entry'!$M$15:$M$18,'Loans to Cash Flows Wkst'!J$2)+SUMIFS('Loan Entry'!$V$23:$V$26,'Loan Entry'!$D$23:$D$26,$C$2,'Loan Entry'!$AB$23:$AB$26,"*Jul*",'Loan Entry'!$M$23:$M$26,'Loans to Cash Flows Wkst'!J$2)+SUMIFS('Loan Entry'!$V$31:$V$34,'Loan Entry'!$D$31:$D$34,$C$2,'Loan Entry'!$AB$31:$AB$34,"*Jul*",'Loan Entry'!$M$31:$M$34,'Loans to Cash Flows Wkst'!J$2)+SUMIFS('Loan Entry'!$V$47:$V$50,'Loan Entry'!$D$47:$D$50,$C$2,'Loan Entry'!$AB$47:$AB$50,"*Jul*",'Loan Entry'!$M$47:$M$50,'Loans to Cash Flows Wkst'!J$2) +SUMIFS('Loan Entry'!$V$55:$V$58,'Loan Entry'!$D$55:$D$58,$C$2,'Loan Entry'!$AB$55:$AB$58,"*Jul*",'Loan Entry'!$M$55:$M$58,'Loans to Cash Flows Wkst'!J$2)+SUMIFS('Loan Entry'!$V$39:$V$42,'Loan Entry'!$D$39:$D$42,$C$2,'Loan Entry'!$AB$39:$AB$42,"*Jul*",'Loan Entry'!$M$39:$M$42,'Loans to Cash Flows Wkst'!J$2)</f>
        <v>0</v>
      </c>
      <c r="K9" s="686">
        <f>SUMIFS('Loan Entry'!$V$15:$V$18,'Loan Entry'!$D$15:$D$18,$C$2,'Loan Entry'!$AB$15:$AB$18,"*Jul*",'Loan Entry'!$M$15:$M$18,'Loans to Cash Flows Wkst'!K$2)+SUMIFS('Loan Entry'!$V$23:$V$26,'Loan Entry'!$D$23:$D$26,$C$2,'Loan Entry'!$AB$23:$AB$26,"*Jul*",'Loan Entry'!$M$23:$M$26,'Loans to Cash Flows Wkst'!K$2)+SUMIFS('Loan Entry'!$V$31:$V$34,'Loan Entry'!$D$31:$D$34,$C$2,'Loan Entry'!$AB$31:$AB$34,"*Jul*",'Loan Entry'!$M$31:$M$34,'Loans to Cash Flows Wkst'!K$2)+SUMIFS('Loan Entry'!$V$47:$V$50,'Loan Entry'!$D$47:$D$50,$C$2,'Loan Entry'!$AB$47:$AB$50,"*Jul*",'Loan Entry'!$M$47:$M$50,'Loans to Cash Flows Wkst'!K$2) +SUMIFS('Loan Entry'!$V$55:$V$58,'Loan Entry'!$D$55:$D$58,$C$2,'Loan Entry'!$AB$55:$AB$58,"*Jul*",'Loan Entry'!$M$55:$M$58,'Loans to Cash Flows Wkst'!K$2)+SUMIFS('Loan Entry'!$V$39:$V$42,'Loan Entry'!$D$39:$D$42,$C$2,'Loan Entry'!$AB$39:$AB$42,"*Jul*",'Loan Entry'!$M$39:$M$42,'Loans to Cash Flows Wkst'!K$2)</f>
        <v>0</v>
      </c>
      <c r="M9" s="777" t="s">
        <v>9</v>
      </c>
      <c r="N9" s="686">
        <f>SUMIFS('Loan Entry'!$W$15:$W$18,'Loan Entry'!$D$15:$D$18,$C$2,'Loan Entry'!$AB$15:$AB$18,$C9,'Loan Entry'!$M$15:$M$18,'Loans to Cash Flows Wkst'!N$2)+SUMIFS('Loan Entry'!$W$23:$W$26,'Loan Entry'!$D$23:$D$26,$C$2,'Loan Entry'!$AB$23:$AB$26,$C9,'Loan Entry'!$M$23:$M$26,'Loans to Cash Flows Wkst'!N$2)+SUMIFS('Loan Entry'!$W$31:$W$34,'Loan Entry'!$D$31:$D$34,$C$2,'Loan Entry'!$AB$31:$AB$34,$C9,'Loan Entry'!$M$31:$M$34,'Loans to Cash Flows Wkst'!N$2)+SUMIFS('Loan Entry'!$W$47:$W$50,'Loan Entry'!$D$47:$D$50,$C$2,'Loan Entry'!$AB$47:$AB$50,$C9,'Loan Entry'!$M$47:$M$50,'Loans to Cash Flows Wkst'!N$2)+SUMIFS('Loan Entry'!$W$55:$W$58,'Loan Entry'!$D$55:$D$58,$C$2,'Loan Entry'!$AB$55:$AB$58,$C9,'Loan Entry'!$M$55:$M$58,'Loans to Cash Flows Wkst'!N$2)+SUMIFS('Loan Entry'!$W$39:$W$42,'Loan Entry'!$D$39:$D$42,$C$2,'Loan Entry'!$AB$39:$AB$42,$C9,'Loan Entry'!$M$39:$M$42,'Loans to Cash Flows Wkst'!N$2)</f>
        <v>0</v>
      </c>
      <c r="O9" s="686">
        <f>SUMIFS('Loan Entry'!$W$15:$W$18,'Loan Entry'!$D$15:$D$18,$C$2,'Loan Entry'!$AB$15:$AB$18,"*Jul*",'Loan Entry'!$M$15:$M$18,'Loans to Cash Flows Wkst'!O$2)+SUMIFS('Loan Entry'!$W$23:$W$26,'Loan Entry'!$D$23:$D$26,$C$2,'Loan Entry'!$AB$23:$AB$26,"*Jul*",'Loan Entry'!$M$23:$M$26,'Loans to Cash Flows Wkst'!O$2)+SUMIFS('Loan Entry'!$W$31:$W$34,'Loan Entry'!$D$31:$D$34,$C$2,'Loan Entry'!$AB$31:$AB$34,"*Jul*",'Loan Entry'!$M$31:$M$34,'Loans to Cash Flows Wkst'!O$2)+SUMIFS('Loan Entry'!$W$47:$W$50,'Loan Entry'!$D$47:$D$50,$C$2,'Loan Entry'!$AB$47:$AB$50,"*Jul*",'Loan Entry'!$M$47:$M$50,'Loans to Cash Flows Wkst'!O$2)+SUMIFS('Loan Entry'!$W$55:$W$58,'Loan Entry'!$D$55:$D$58,$C$2,'Loan Entry'!$AB$55:$AB$58,"*Jul*",'Loan Entry'!$M$55:$M$58,'Loans to Cash Flows Wkst'!O$2)+SUMIFS('Loan Entry'!$W$39:$W$42,'Loan Entry'!$D$39:$D$42,$C$2,'Loan Entry'!$AB$39:$AB$42,"*Jul*",'Loan Entry'!$M$39:$M$42,'Loans to Cash Flows Wkst'!O$2)</f>
        <v>0</v>
      </c>
      <c r="P9" s="686">
        <f>SUMIFS('Loan Entry'!$W$15:$W$18,'Loan Entry'!$D$15:$D$18,$C$2,'Loan Entry'!$AB$15:$AB$18,"*Jul*",'Loan Entry'!$M$15:$M$18,'Loans to Cash Flows Wkst'!P$2)+SUMIFS('Loan Entry'!$W$23:$W$26,'Loan Entry'!$D$23:$D$26,$C$2,'Loan Entry'!$AB$23:$AB$26,"*Jul*",'Loan Entry'!$M$23:$M$26,'Loans to Cash Flows Wkst'!P$2)+SUMIFS('Loan Entry'!$W$31:$W$34,'Loan Entry'!$D$31:$D$34,$C$2,'Loan Entry'!$AB$31:$AB$34,"*Jul*",'Loan Entry'!$M$31:$M$34,'Loans to Cash Flows Wkst'!P$2)+SUMIFS('Loan Entry'!$W$47:$W$50,'Loan Entry'!$D$47:$D$50,$C$2,'Loan Entry'!$AB$47:$AB$50,"*Jul*",'Loan Entry'!$M$47:$M$50,'Loans to Cash Flows Wkst'!P$2)+SUMIFS('Loan Entry'!$W$55:$W$58,'Loan Entry'!$D$55:$D$58,$C$2,'Loan Entry'!$AB$55:$AB$58,"*Jul*",'Loan Entry'!$M$55:$M$58,'Loans to Cash Flows Wkst'!P$2)+SUMIFS('Loan Entry'!$W$39:$W$42,'Loan Entry'!$D$39:$D$42,$C$2,'Loan Entry'!$AB$39:$AB$42,"*Jul*",'Loan Entry'!$M$39:$M$42,'Loans to Cash Flows Wkst'!P$2)</f>
        <v>0</v>
      </c>
      <c r="Q9" s="686">
        <f>SUMIFS('Loan Entry'!$W$15:$W$18,'Loan Entry'!$D$15:$D$18,$C$2,'Loan Entry'!$AB$15:$AB$18,"*Jul*",'Loan Entry'!$M$15:$M$18,'Loans to Cash Flows Wkst'!Q$2)+SUMIFS('Loan Entry'!$W$23:$W$26,'Loan Entry'!$D$23:$D$26,$C$2,'Loan Entry'!$AB$23:$AB$26,"*Jul*",'Loan Entry'!$M$23:$M$26,'Loans to Cash Flows Wkst'!Q$2)+SUMIFS('Loan Entry'!$W$31:$W$34,'Loan Entry'!$D$31:$D$34,$C$2,'Loan Entry'!$AB$31:$AB$34,"*Jul*",'Loan Entry'!$M$31:$M$34,'Loans to Cash Flows Wkst'!Q$2)+SUMIFS('Loan Entry'!$W$47:$W$50,'Loan Entry'!$D$47:$D$50,$C$2,'Loan Entry'!$AB$47:$AB$50,"*Jul*",'Loan Entry'!$M$47:$M$50,'Loans to Cash Flows Wkst'!Q$2)+SUMIFS('Loan Entry'!$W$55:$W$58,'Loan Entry'!$D$55:$D$58,$C$2,'Loan Entry'!$AB$55:$AB$58,"*Jul*",'Loan Entry'!$M$55:$M$58,'Loans to Cash Flows Wkst'!Q$2)+SUMIFS('Loan Entry'!$W$39:$W$42,'Loan Entry'!$D$39:$D$42,$C$2,'Loan Entry'!$AB$39:$AB$42,"*Jul*",'Loan Entry'!$M$39:$M$42,'Loans to Cash Flows Wkst'!Q$2)</f>
        <v>0</v>
      </c>
    </row>
    <row r="10" spans="2:17" x14ac:dyDescent="0.2">
      <c r="B10" s="774" t="s">
        <v>188</v>
      </c>
      <c r="C10" s="780" t="s">
        <v>10</v>
      </c>
      <c r="D10" s="776">
        <f>SUM('Loans to Cash Flows Wkst'!$H10:$K10)</f>
        <v>0</v>
      </c>
      <c r="E10" s="687">
        <f>SUM('Loans to Cash Flows Wkst'!$N10:$Q10)</f>
        <v>0</v>
      </c>
      <c r="G10" s="774" t="s">
        <v>10</v>
      </c>
      <c r="H10" s="776">
        <f>SUMIFS('Loan Entry'!$V$15:$V$18,'Loan Entry'!$D$15:$D$18,$C$2,'Loan Entry'!$AB$15:$AB$18,$C10,'Loan Entry'!$M$15:$M$18,'Loans to Cash Flows Wkst'!H$2)+SUMIFS('Loan Entry'!$V$23:$V$26,'Loan Entry'!$D$23:$D$26,$C$2,'Loan Entry'!$AB$23:$AB$26,$C10,'Loan Entry'!$M$23:$M$26,'Loans to Cash Flows Wkst'!H$2)+SUMIFS('Loan Entry'!$V$31:$V$34,'Loan Entry'!$D$31:$D$34,$C$2,'Loan Entry'!$AB$31:$AB$34,$C10,'Loan Entry'!$M$31:$M$34,'Loans to Cash Flows Wkst'!H$2)+SUMIFS('Loan Entry'!$V$47:$V$50,'Loan Entry'!$D$47:$D$50,$C$2,'Loan Entry'!$AB$47:$AB$50,$C10,'Loan Entry'!$M$47:$M$50,'Loans to Cash Flows Wkst'!H$2) +SUMIFS('Loan Entry'!$V$55:$V$58,'Loan Entry'!$D$55:$D$58,$C$2,'Loan Entry'!$AB$55:$AB$58,$C10,'Loan Entry'!$M$55:$M$58,'Loans to Cash Flows Wkst'!H$2)+SUMIFS('Loan Entry'!$V$39:$V$42,'Loan Entry'!$D$39:$D$42,$C$2,'Loan Entry'!$AB$39:$AB$42,$C10,'Loan Entry'!$M$39:$M$42,'Loans to Cash Flows Wkst'!H$2)</f>
        <v>0</v>
      </c>
      <c r="I10" s="687">
        <f>SUMIFS('Loan Entry'!$V$15:$V$18,'Loan Entry'!$D$15:$D$18,$C$2,'Loan Entry'!$AB$15:$AB$18,"*Aug*",'Loan Entry'!$M$15:$M$18,'Loans to Cash Flows Wkst'!I$2)+SUMIFS('Loan Entry'!$V$23:$V$26,'Loan Entry'!$D$23:$D$26,$C$2,'Loan Entry'!$AB$23:$AB$26,"*Aug*",'Loan Entry'!$M$23:$M$26,'Loans to Cash Flows Wkst'!I$2)+SUMIFS('Loan Entry'!$V$31:$V$34,'Loan Entry'!$D$31:$D$34,$C$2,'Loan Entry'!$AB$31:$AB$34,"*Aug*",'Loan Entry'!$M$31:$M$34,'Loans to Cash Flows Wkst'!I$2)+SUMIFS('Loan Entry'!$V$47:$V$50,'Loan Entry'!$D$47:$D$50,$C$2,'Loan Entry'!$AB$47:$AB$50,"*Aug*",'Loan Entry'!$M$47:$M$50,'Loans to Cash Flows Wkst'!I$2)+SUMIFS('Loan Entry'!$V$55:$V$58,'Loan Entry'!$D$55:$D$58,$C$2,'Loan Entry'!$AB$55:$AB$58,"*Aug*",'Loan Entry'!$M$55:$M$58,'Loans to Cash Flows Wkst'!I$2)+SUMIFS('Loan Entry'!$V$39:$V$42,'Loan Entry'!$D$39:$D$42,$C$2,'Loan Entry'!$AB$39:$AB$42,"*Aug*",'Loan Entry'!$M$39:$M$42,'Loans to Cash Flows Wkst'!I$2)</f>
        <v>0</v>
      </c>
      <c r="J10" s="687">
        <f>SUMIFS('Loan Entry'!$V$15:$V$18,'Loan Entry'!$D$15:$D$18,$C$2,'Loan Entry'!$AB$15:$AB$18,"*Aug*",'Loan Entry'!$M$15:$M$18,'Loans to Cash Flows Wkst'!J$2)+SUMIFS('Loan Entry'!$V$23:$V$26,'Loan Entry'!$D$23:$D$26,$C$2,'Loan Entry'!$AB$23:$AB$26,"*Aug*",'Loan Entry'!$M$23:$M$26,'Loans to Cash Flows Wkst'!J$2)+SUMIFS('Loan Entry'!$V$31:$V$34,'Loan Entry'!$D$31:$D$34,$C$2,'Loan Entry'!$AB$31:$AB$34,"*Aug*",'Loan Entry'!$M$31:$M$34,'Loans to Cash Flows Wkst'!J$2)+SUMIFS('Loan Entry'!$V$47:$V$50,'Loan Entry'!$D$47:$D$50,$C$2,'Loan Entry'!$AB$47:$AB$50,"*Aug*",'Loan Entry'!$M$47:$M$50,'Loans to Cash Flows Wkst'!J$2) +SUMIFS('Loan Entry'!$V$55:$V$58,'Loan Entry'!$D$55:$D$58,$C$2,'Loan Entry'!$AB$55:$AB$58,"*Aug*",'Loan Entry'!$M$55:$M$58,'Loans to Cash Flows Wkst'!J$2)+SUMIFS('Loan Entry'!$V$39:$V$42,'Loan Entry'!$D$39:$D$42,$C$2,'Loan Entry'!$AB$39:$AB$42,"*Aug*",'Loan Entry'!$M$39:$M$42,'Loans to Cash Flows Wkst'!J$2)</f>
        <v>0</v>
      </c>
      <c r="K10" s="687">
        <f>SUMIFS('Loan Entry'!$V$15:$V$18,'Loan Entry'!$D$15:$D$18,$C$2,'Loan Entry'!$AB$15:$AB$18,"*Aug*",'Loan Entry'!$M$15:$M$18,'Loans to Cash Flows Wkst'!K$2)+SUMIFS('Loan Entry'!$V$23:$V$26,'Loan Entry'!$D$23:$D$26,$C$2,'Loan Entry'!$AB$23:$AB$26,"*Aug*",'Loan Entry'!$M$23:$M$26,'Loans to Cash Flows Wkst'!K$2)+SUMIFS('Loan Entry'!$V$31:$V$34,'Loan Entry'!$D$31:$D$34,$C$2,'Loan Entry'!$AB$31:$AB$34,"*Aug*",'Loan Entry'!$M$31:$M$34,'Loans to Cash Flows Wkst'!K$2)+SUMIFS('Loan Entry'!$V$47:$V$50,'Loan Entry'!$D$47:$D$50,$C$2,'Loan Entry'!$AB$47:$AB$50,"*Aug*",'Loan Entry'!$M$47:$M$50,'Loans to Cash Flows Wkst'!K$2) +SUMIFS('Loan Entry'!$V$55:$V$58,'Loan Entry'!$D$55:$D$58,$C$2,'Loan Entry'!$AB$55:$AB$58,"*Aug*",'Loan Entry'!$M$55:$M$58,'Loans to Cash Flows Wkst'!K$2)+SUMIFS('Loan Entry'!$V$39:$V$42,'Loan Entry'!$D$39:$D$42,$C$2,'Loan Entry'!$AB$39:$AB$42,"*Aug*",'Loan Entry'!$M$39:$M$42,'Loans to Cash Flows Wkst'!K$2)</f>
        <v>0</v>
      </c>
      <c r="M10" s="774" t="s">
        <v>10</v>
      </c>
      <c r="N10" s="687">
        <f>SUMIFS('Loan Entry'!$W$15:$W$18,'Loan Entry'!$D$15:$D$18,$C$2,'Loan Entry'!$AB$15:$AB$18,$C10,'Loan Entry'!$M$15:$M$18,'Loans to Cash Flows Wkst'!N$2)+SUMIFS('Loan Entry'!$W$23:$W$26,'Loan Entry'!$D$23:$D$26,$C$2,'Loan Entry'!$AB$23:$AB$26,$C10,'Loan Entry'!$M$23:$M$26,'Loans to Cash Flows Wkst'!N$2)+SUMIFS('Loan Entry'!$W$31:$W$34,'Loan Entry'!$D$31:$D$34,$C$2,'Loan Entry'!$AB$31:$AB$34,$C10,'Loan Entry'!$M$31:$M$34,'Loans to Cash Flows Wkst'!N$2)+SUMIFS('Loan Entry'!$W$47:$W$50,'Loan Entry'!$D$47:$D$50,$C$2,'Loan Entry'!$AB$47:$AB$50,$C10,'Loan Entry'!$M$47:$M$50,'Loans to Cash Flows Wkst'!N$2)+SUMIFS('Loan Entry'!$W$55:$W$58,'Loan Entry'!$D$55:$D$58,$C$2,'Loan Entry'!$AB$55:$AB$58,$C10,'Loan Entry'!$M$55:$M$58,'Loans to Cash Flows Wkst'!N$2)+SUMIFS('Loan Entry'!$W$39:$W$42,'Loan Entry'!$D$39:$D$42,$C$2,'Loan Entry'!$AB$39:$AB$42,$C10,'Loan Entry'!$M$39:$M$42,'Loans to Cash Flows Wkst'!N$2)</f>
        <v>0</v>
      </c>
      <c r="O10" s="687">
        <f>SUMIFS('Loan Entry'!$W$15:$W$18,'Loan Entry'!$D$15:$D$18,$C$2,'Loan Entry'!$AB$15:$AB$18,"*Aug*",'Loan Entry'!$M$15:$M$18,'Loans to Cash Flows Wkst'!O$2)+SUMIFS('Loan Entry'!$W$23:$W$26,'Loan Entry'!$D$23:$D$26,$C$2,'Loan Entry'!$AB$23:$AB$26,"*Aug*",'Loan Entry'!$M$23:$M$26,'Loans to Cash Flows Wkst'!O$2)+SUMIFS('Loan Entry'!$W$31:$W$34,'Loan Entry'!$D$31:$D$34,$C$2,'Loan Entry'!$AB$31:$AB$34,"*Aug*",'Loan Entry'!$M$31:$M$34,'Loans to Cash Flows Wkst'!O$2)+SUMIFS('Loan Entry'!$W$47:$W$50,'Loan Entry'!$D$47:$D$50,$C$2,'Loan Entry'!$AB$47:$AB$50,"*Aug*",'Loan Entry'!$M$47:$M$50,'Loans to Cash Flows Wkst'!O$2)+SUMIFS('Loan Entry'!$W$55:$W$58,'Loan Entry'!$D$55:$D$58,$C$2,'Loan Entry'!$AB$55:$AB$58,"*Aug*",'Loan Entry'!$M$55:$M$58,'Loans to Cash Flows Wkst'!O$2)+SUMIFS('Loan Entry'!$W$39:$W$42,'Loan Entry'!$D$39:$D$42,$C$2,'Loan Entry'!$AB$39:$AB$42,"*Aug*",'Loan Entry'!$M$39:$M$42,'Loans to Cash Flows Wkst'!O$2)</f>
        <v>0</v>
      </c>
      <c r="P10" s="687">
        <f>SUMIFS('Loan Entry'!$W$15:$W$18,'Loan Entry'!$D$15:$D$18,$C$2,'Loan Entry'!$AB$15:$AB$18,"*Aug*",'Loan Entry'!$M$15:$M$18,'Loans to Cash Flows Wkst'!P$2)+SUMIFS('Loan Entry'!$W$23:$W$26,'Loan Entry'!$D$23:$D$26,$C$2,'Loan Entry'!$AB$23:$AB$26,"*Aug*",'Loan Entry'!$M$23:$M$26,'Loans to Cash Flows Wkst'!P$2)+SUMIFS('Loan Entry'!$W$31:$W$34,'Loan Entry'!$D$31:$D$34,$C$2,'Loan Entry'!$AB$31:$AB$34,"*Aug*",'Loan Entry'!$M$31:$M$34,'Loans to Cash Flows Wkst'!P$2)+SUMIFS('Loan Entry'!$W$47:$W$50,'Loan Entry'!$D$47:$D$50,$C$2,'Loan Entry'!$AB$47:$AB$50,"*Aug*",'Loan Entry'!$M$47:$M$50,'Loans to Cash Flows Wkst'!P$2)+SUMIFS('Loan Entry'!$W$55:$W$58,'Loan Entry'!$D$55:$D$58,$C$2,'Loan Entry'!$AB$55:$AB$58,"*Aug*",'Loan Entry'!$M$55:$M$58,'Loans to Cash Flows Wkst'!P$2)+SUMIFS('Loan Entry'!$W$39:$W$42,'Loan Entry'!$D$39:$D$42,$C$2,'Loan Entry'!$AB$39:$AB$42,"*Aug*",'Loan Entry'!$M$39:$M$42,'Loans to Cash Flows Wkst'!P$2)</f>
        <v>0</v>
      </c>
      <c r="Q10" s="687">
        <f>SUMIFS('Loan Entry'!$W$15:$W$18,'Loan Entry'!$D$15:$D$18,$C$2,'Loan Entry'!$AB$15:$AB$18,"*Aug*",'Loan Entry'!$M$15:$M$18,'Loans to Cash Flows Wkst'!Q$2)+SUMIFS('Loan Entry'!$W$23:$W$26,'Loan Entry'!$D$23:$D$26,$C$2,'Loan Entry'!$AB$23:$AB$26,"*Aug*",'Loan Entry'!$M$23:$M$26,'Loans to Cash Flows Wkst'!Q$2)+SUMIFS('Loan Entry'!$W$31:$W$34,'Loan Entry'!$D$31:$D$34,$C$2,'Loan Entry'!$AB$31:$AB$34,"*Aug*",'Loan Entry'!$M$31:$M$34,'Loans to Cash Flows Wkst'!Q$2)+SUMIFS('Loan Entry'!$W$47:$W$50,'Loan Entry'!$D$47:$D$50,$C$2,'Loan Entry'!$AB$47:$AB$50,"*Aug*",'Loan Entry'!$M$47:$M$50,'Loans to Cash Flows Wkst'!Q$2)+SUMIFS('Loan Entry'!$W$55:$W$58,'Loan Entry'!$D$55:$D$58,$C$2,'Loan Entry'!$AB$55:$AB$58,"*Aug*",'Loan Entry'!$M$55:$M$58,'Loans to Cash Flows Wkst'!Q$2)+SUMIFS('Loan Entry'!$W$39:$W$42,'Loan Entry'!$D$39:$D$42,$C$2,'Loan Entry'!$AB$39:$AB$42,"*Aug*",'Loan Entry'!$M$39:$M$42,'Loans to Cash Flows Wkst'!Q$2)</f>
        <v>0</v>
      </c>
    </row>
    <row r="11" spans="2:17" x14ac:dyDescent="0.2">
      <c r="B11" s="777" t="s">
        <v>189</v>
      </c>
      <c r="C11" s="778" t="s">
        <v>11</v>
      </c>
      <c r="D11" s="779">
        <f>SUM('Loans to Cash Flows Wkst'!$H11:$K11)</f>
        <v>0</v>
      </c>
      <c r="E11" s="686">
        <f>SUM('Loans to Cash Flows Wkst'!$N11:$Q11)</f>
        <v>0</v>
      </c>
      <c r="G11" s="777" t="s">
        <v>11</v>
      </c>
      <c r="H11" s="779">
        <f>SUMIFS('Loan Entry'!$V$15:$V$18,'Loan Entry'!$D$15:$D$18,$C$2,'Loan Entry'!$AB$15:$AB$18,$C11,'Loan Entry'!$M$15:$M$18,'Loans to Cash Flows Wkst'!H$2)+SUMIFS('Loan Entry'!$V$23:$V$26,'Loan Entry'!$D$23:$D$26,$C$2,'Loan Entry'!$AB$23:$AB$26,$C11,'Loan Entry'!$M$23:$M$26,'Loans to Cash Flows Wkst'!H$2)+SUMIFS('Loan Entry'!$V$31:$V$34,'Loan Entry'!$D$31:$D$34,$C$2,'Loan Entry'!$AB$31:$AB$34,$C11,'Loan Entry'!$M$31:$M$34,'Loans to Cash Flows Wkst'!H$2)+SUMIFS('Loan Entry'!$V$47:$V$50,'Loan Entry'!$D$47:$D$50,$C$2,'Loan Entry'!$AB$47:$AB$50,$C11,'Loan Entry'!$M$47:$M$50,'Loans to Cash Flows Wkst'!H$2) +SUMIFS('Loan Entry'!$V$55:$V$58,'Loan Entry'!$D$55:$D$58,$C$2,'Loan Entry'!$AB$55:$AB$58,$C11,'Loan Entry'!$M$55:$M$58,'Loans to Cash Flows Wkst'!H$2)+SUMIFS('Loan Entry'!$V$39:$V$42,'Loan Entry'!$D$39:$D$42,$C$2,'Loan Entry'!$AB$39:$AB$42,$C11,'Loan Entry'!$M$39:$M$42,'Loans to Cash Flows Wkst'!H$2)</f>
        <v>0</v>
      </c>
      <c r="I11" s="686">
        <f>SUMIFS('Loan Entry'!$V$15:$V$18,'Loan Entry'!$D$15:$D$18,$C$2,'Loan Entry'!$AB$15:$AB$18,"*Sep*",'Loan Entry'!$M$15:$M$18,'Loans to Cash Flows Wkst'!I$2)+SUMIFS('Loan Entry'!$V$23:$V$26,'Loan Entry'!$D$23:$D$26,$C$2,'Loan Entry'!$AB$23:$AB$26,"*Sep*",'Loan Entry'!$M$23:$M$26,'Loans to Cash Flows Wkst'!I$2)+SUMIFS('Loan Entry'!$V$31:$V$34,'Loan Entry'!$D$31:$D$34,$C$2,'Loan Entry'!$AB$31:$AB$34,"*Sep*",'Loan Entry'!$M$31:$M$34,'Loans to Cash Flows Wkst'!I$2)+SUMIFS('Loan Entry'!$V$47:$V$50,'Loan Entry'!$D$47:$D$50,$C$2,'Loan Entry'!$AB$47:$AB$50,"*Sep*",'Loan Entry'!$M$47:$M$50,'Loans to Cash Flows Wkst'!I$2)+SUMIFS('Loan Entry'!$V$55:$V$58,'Loan Entry'!$D$55:$D$58,$C$2,'Loan Entry'!$AB$55:$AB$58,"*Sep*",'Loan Entry'!$M$55:$M$58,'Loans to Cash Flows Wkst'!I$2)+SUMIFS('Loan Entry'!$V$39:$V$42,'Loan Entry'!$D$39:$D$42,$C$2,'Loan Entry'!$AB$39:$AB$42,"*Sep*",'Loan Entry'!$M$39:$M$42,'Loans to Cash Flows Wkst'!I$2)</f>
        <v>0</v>
      </c>
      <c r="J11" s="686">
        <f>SUMIFS('Loan Entry'!$V$15:$V$18,'Loan Entry'!$D$15:$D$18,$C$2,'Loan Entry'!$AB$15:$AB$18,"*Sep*",'Loan Entry'!$M$15:$M$18,'Loans to Cash Flows Wkst'!J$2)+SUMIFS('Loan Entry'!$V$23:$V$26,'Loan Entry'!$D$23:$D$26,$C$2,'Loan Entry'!$AB$23:$AB$26,"*Sep*",'Loan Entry'!$M$23:$M$26,'Loans to Cash Flows Wkst'!J$2)+SUMIFS('Loan Entry'!$V$31:$V$34,'Loan Entry'!$D$31:$D$34,$C$2,'Loan Entry'!$AB$31:$AB$34,"*Sep*",'Loan Entry'!$M$31:$M$34,'Loans to Cash Flows Wkst'!J$2)+SUMIFS('Loan Entry'!$V$47:$V$50,'Loan Entry'!$D$47:$D$50,$C$2,'Loan Entry'!$AB$47:$AB$50,"*Sep*",'Loan Entry'!$M$47:$M$50,'Loans to Cash Flows Wkst'!J$2) +SUMIFS('Loan Entry'!$V$55:$V$58,'Loan Entry'!$D$55:$D$58,$C$2,'Loan Entry'!$AB$55:$AB$58,"*Sep*",'Loan Entry'!$M$55:$M$58,'Loans to Cash Flows Wkst'!J$2)+SUMIFS('Loan Entry'!$V$39:$V$42,'Loan Entry'!$D$39:$D$42,$C$2,'Loan Entry'!$AB$39:$AB$42,"*Sep*",'Loan Entry'!$M$39:$M$42,'Loans to Cash Flows Wkst'!J$2)</f>
        <v>0</v>
      </c>
      <c r="K11" s="686">
        <f>SUMIFS('Loan Entry'!$V$15:$V$18,'Loan Entry'!$D$15:$D$18,$C$2,'Loan Entry'!$AB$15:$AB$18,"*Sep*",'Loan Entry'!$M$15:$M$18,'Loans to Cash Flows Wkst'!K$2)+SUMIFS('Loan Entry'!$V$23:$V$26,'Loan Entry'!$D$23:$D$26,$C$2,'Loan Entry'!$AB$23:$AB$26,"*Sep*",'Loan Entry'!$M$23:$M$26,'Loans to Cash Flows Wkst'!K$2)+SUMIFS('Loan Entry'!$V$31:$V$34,'Loan Entry'!$D$31:$D$34,$C$2,'Loan Entry'!$AB$31:$AB$34,"*Sep*",'Loan Entry'!$M$31:$M$34,'Loans to Cash Flows Wkst'!K$2)+SUMIFS('Loan Entry'!$V$47:$V$50,'Loan Entry'!$D$47:$D$50,$C$2,'Loan Entry'!$AB$47:$AB$50,"*Sep*",'Loan Entry'!$M$47:$M$50,'Loans to Cash Flows Wkst'!K$2) +SUMIFS('Loan Entry'!$V$55:$V$58,'Loan Entry'!$D$55:$D$58,$C$2,'Loan Entry'!$AB$55:$AB$58,"*Sep*",'Loan Entry'!$M$55:$M$58,'Loans to Cash Flows Wkst'!K$2)+SUMIFS('Loan Entry'!$V$39:$V$42,'Loan Entry'!$D$39:$D$42,$C$2,'Loan Entry'!$AB$39:$AB$42,"*Sep*",'Loan Entry'!$M$39:$M$42,'Loans to Cash Flows Wkst'!K$2)</f>
        <v>0</v>
      </c>
      <c r="M11" s="777" t="s">
        <v>11</v>
      </c>
      <c r="N11" s="686">
        <f>SUMIFS('Loan Entry'!$W$15:$W$18,'Loan Entry'!$D$15:$D$18,$C$2,'Loan Entry'!$AB$15:$AB$18,$C11,'Loan Entry'!$M$15:$M$18,'Loans to Cash Flows Wkst'!N$2)+SUMIFS('Loan Entry'!$W$23:$W$26,'Loan Entry'!$D$23:$D$26,$C$2,'Loan Entry'!$AB$23:$AB$26,$C11,'Loan Entry'!$M$23:$M$26,'Loans to Cash Flows Wkst'!N$2)+SUMIFS('Loan Entry'!$W$31:$W$34,'Loan Entry'!$D$31:$D$34,$C$2,'Loan Entry'!$AB$31:$AB$34,$C11,'Loan Entry'!$M$31:$M$34,'Loans to Cash Flows Wkst'!N$2)+SUMIFS('Loan Entry'!$W$47:$W$50,'Loan Entry'!$D$47:$D$50,$C$2,'Loan Entry'!$AB$47:$AB$50,$C11,'Loan Entry'!$M$47:$M$50,'Loans to Cash Flows Wkst'!N$2)+SUMIFS('Loan Entry'!$W$55:$W$58,'Loan Entry'!$D$55:$D$58,$C$2,'Loan Entry'!$AB$55:$AB$58,$C11,'Loan Entry'!$M$55:$M$58,'Loans to Cash Flows Wkst'!N$2)+SUMIFS('Loan Entry'!$W$39:$W$42,'Loan Entry'!$D$39:$D$42,$C$2,'Loan Entry'!$AB$39:$AB$42,$C11,'Loan Entry'!$M$39:$M$42,'Loans to Cash Flows Wkst'!N$2)</f>
        <v>0</v>
      </c>
      <c r="O11" s="686">
        <f>SUMIFS('Loan Entry'!$W$15:$W$18,'Loan Entry'!$D$15:$D$18,$C$2,'Loan Entry'!$AB$15:$AB$18,"*Sep*",'Loan Entry'!$M$15:$M$18,'Loans to Cash Flows Wkst'!O$2)+SUMIFS('Loan Entry'!$W$23:$W$26,'Loan Entry'!$D$23:$D$26,$C$2,'Loan Entry'!$AB$23:$AB$26,"*Sep*",'Loan Entry'!$M$23:$M$26,'Loans to Cash Flows Wkst'!O$2)+SUMIFS('Loan Entry'!$W$31:$W$34,'Loan Entry'!$D$31:$D$34,$C$2,'Loan Entry'!$AB$31:$AB$34,"*Sep*",'Loan Entry'!$M$31:$M$34,'Loans to Cash Flows Wkst'!O$2)+SUMIFS('Loan Entry'!$W$47:$W$50,'Loan Entry'!$D$47:$D$50,$C$2,'Loan Entry'!$AB$47:$AB$50,"*Sep*",'Loan Entry'!$M$47:$M$50,'Loans to Cash Flows Wkst'!O$2)+SUMIFS('Loan Entry'!$W$55:$W$58,'Loan Entry'!$D$55:$D$58,$C$2,'Loan Entry'!$AB$55:$AB$58,"*Sep*",'Loan Entry'!$M$55:$M$58,'Loans to Cash Flows Wkst'!O$2)+SUMIFS('Loan Entry'!$W$39:$W$42,'Loan Entry'!$D$39:$D$42,$C$2,'Loan Entry'!$AB$39:$AB$42,"*Sep*",'Loan Entry'!$M$39:$M$42,'Loans to Cash Flows Wkst'!O$2)</f>
        <v>0</v>
      </c>
      <c r="P11" s="686">
        <f>SUMIFS('Loan Entry'!$W$15:$W$18,'Loan Entry'!$D$15:$D$18,$C$2,'Loan Entry'!$AB$15:$AB$18,"*Sep*",'Loan Entry'!$M$15:$M$18,'Loans to Cash Flows Wkst'!P$2)+SUMIFS('Loan Entry'!$W$23:$W$26,'Loan Entry'!$D$23:$D$26,$C$2,'Loan Entry'!$AB$23:$AB$26,"*Sep*",'Loan Entry'!$M$23:$M$26,'Loans to Cash Flows Wkst'!P$2)+SUMIFS('Loan Entry'!$W$31:$W$34,'Loan Entry'!$D$31:$D$34,$C$2,'Loan Entry'!$AB$31:$AB$34,"*Sep*",'Loan Entry'!$M$31:$M$34,'Loans to Cash Flows Wkst'!P$2)+SUMIFS('Loan Entry'!$W$47:$W$50,'Loan Entry'!$D$47:$D$50,$C$2,'Loan Entry'!$AB$47:$AB$50,"*Sep*",'Loan Entry'!$M$47:$M$50,'Loans to Cash Flows Wkst'!P$2)+SUMIFS('Loan Entry'!$W$55:$W$58,'Loan Entry'!$D$55:$D$58,$C$2,'Loan Entry'!$AB$55:$AB$58,"*Sep*",'Loan Entry'!$M$55:$M$58,'Loans to Cash Flows Wkst'!P$2)+SUMIFS('Loan Entry'!$W$39:$W$42,'Loan Entry'!$D$39:$D$42,$C$2,'Loan Entry'!$AB$39:$AB$42,"*Sep*",'Loan Entry'!$M$39:$M$42,'Loans to Cash Flows Wkst'!P$2)</f>
        <v>0</v>
      </c>
      <c r="Q11" s="686">
        <f>SUMIFS('Loan Entry'!$W$15:$W$18,'Loan Entry'!$D$15:$D$18,$C$2,'Loan Entry'!$AB$15:$AB$18,"*Sep*",'Loan Entry'!$M$15:$M$18,'Loans to Cash Flows Wkst'!Q$2)+SUMIFS('Loan Entry'!$W$23:$W$26,'Loan Entry'!$D$23:$D$26,$C$2,'Loan Entry'!$AB$23:$AB$26,"*Sep*",'Loan Entry'!$M$23:$M$26,'Loans to Cash Flows Wkst'!Q$2)+SUMIFS('Loan Entry'!$W$31:$W$34,'Loan Entry'!$D$31:$D$34,$C$2,'Loan Entry'!$AB$31:$AB$34,"*Sep*",'Loan Entry'!$M$31:$M$34,'Loans to Cash Flows Wkst'!Q$2)+SUMIFS('Loan Entry'!$W$47:$W$50,'Loan Entry'!$D$47:$D$50,$C$2,'Loan Entry'!$AB$47:$AB$50,"*Sep*",'Loan Entry'!$M$47:$M$50,'Loans to Cash Flows Wkst'!Q$2)+SUMIFS('Loan Entry'!$W$55:$W$58,'Loan Entry'!$D$55:$D$58,$C$2,'Loan Entry'!$AB$55:$AB$58,"*Sep*",'Loan Entry'!$M$55:$M$58,'Loans to Cash Flows Wkst'!Q$2)+SUMIFS('Loan Entry'!$W$39:$W$42,'Loan Entry'!$D$39:$D$42,$C$2,'Loan Entry'!$AB$39:$AB$42,"*Sep*",'Loan Entry'!$M$39:$M$42,'Loans to Cash Flows Wkst'!Q$2)</f>
        <v>0</v>
      </c>
    </row>
    <row r="12" spans="2:17" x14ac:dyDescent="0.2">
      <c r="B12" s="774" t="s">
        <v>190</v>
      </c>
      <c r="C12" s="780" t="s">
        <v>12</v>
      </c>
      <c r="D12" s="776">
        <f>SUM('Loans to Cash Flows Wkst'!$H12:$K12)</f>
        <v>0</v>
      </c>
      <c r="E12" s="687">
        <f>SUM('Loans to Cash Flows Wkst'!$N12:$Q12)</f>
        <v>0</v>
      </c>
      <c r="G12" s="774" t="s">
        <v>12</v>
      </c>
      <c r="H12" s="776">
        <f>SUMIFS('Loan Entry'!$V$15:$V$18,'Loan Entry'!$D$15:$D$18,$C$2,'Loan Entry'!$AB$15:$AB$18,$C12,'Loan Entry'!$M$15:$M$18,'Loans to Cash Flows Wkst'!H$2)+SUMIFS('Loan Entry'!$V$23:$V$26,'Loan Entry'!$D$23:$D$26,$C$2,'Loan Entry'!$AB$23:$AB$26,$C12,'Loan Entry'!$M$23:$M$26,'Loans to Cash Flows Wkst'!H$2)+SUMIFS('Loan Entry'!$V$31:$V$34,'Loan Entry'!$D$31:$D$34,$C$2,'Loan Entry'!$AB$31:$AB$34,$C12,'Loan Entry'!$M$31:$M$34,'Loans to Cash Flows Wkst'!H$2)+SUMIFS('Loan Entry'!$V$47:$V$50,'Loan Entry'!$D$47:$D$50,$C$2,'Loan Entry'!$AB$47:$AB$50,$C12,'Loan Entry'!$M$47:$M$50,'Loans to Cash Flows Wkst'!H$2) +SUMIFS('Loan Entry'!$V$55:$V$58,'Loan Entry'!$D$55:$D$58,$C$2,'Loan Entry'!$AB$55:$AB$58,$C12,'Loan Entry'!$M$55:$M$58,'Loans to Cash Flows Wkst'!H$2)+SUMIFS('Loan Entry'!$V$39:$V$42,'Loan Entry'!$D$39:$D$42,$C$2,'Loan Entry'!$AB$39:$AB$42,$C12,'Loan Entry'!$M$39:$M$42,'Loans to Cash Flows Wkst'!H$2)</f>
        <v>0</v>
      </c>
      <c r="I12" s="687">
        <f>SUMIFS('Loan Entry'!$V$15:$V$18,'Loan Entry'!$D$15:$D$18,$C$2,'Loan Entry'!$AB$15:$AB$18,"*Oct*",'Loan Entry'!$M$15:$M$18,'Loans to Cash Flows Wkst'!I$2)+SUMIFS('Loan Entry'!$V$23:$V$26,'Loan Entry'!$D$23:$D$26,$C$2,'Loan Entry'!$AB$23:$AB$26,"*Oct*",'Loan Entry'!$M$23:$M$26,'Loans to Cash Flows Wkst'!I$2)+SUMIFS('Loan Entry'!$V$31:$V$34,'Loan Entry'!$D$31:$D$34,$C$2,'Loan Entry'!$AB$31:$AB$34,"*Oct*",'Loan Entry'!$M$31:$M$34,'Loans to Cash Flows Wkst'!I$2)+SUMIFS('Loan Entry'!$V$47:$V$50,'Loan Entry'!$D$47:$D$50,$C$2,'Loan Entry'!$AB$47:$AB$50,"*Oct*",'Loan Entry'!$M$47:$M$50,'Loans to Cash Flows Wkst'!I$2)+SUMIFS('Loan Entry'!$V$55:$V$58,'Loan Entry'!$D$55:$D$58,$C$2,'Loan Entry'!$AB$55:$AB$58,"*Oct*",'Loan Entry'!$M$55:$M$58,'Loans to Cash Flows Wkst'!I$2)+SUMIFS('Loan Entry'!$V$39:$V$42,'Loan Entry'!$D$39:$D$42,$C$2,'Loan Entry'!$AB$39:$AB$42,"*Oct*",'Loan Entry'!$M$39:$M$42,'Loans to Cash Flows Wkst'!I$2)</f>
        <v>0</v>
      </c>
      <c r="J12" s="687">
        <f>SUMIFS('Loan Entry'!$V$15:$V$18,'Loan Entry'!$D$15:$D$18,$C$2,'Loan Entry'!$AB$15:$AB$18,"*Oct*",'Loan Entry'!$M$15:$M$18,'Loans to Cash Flows Wkst'!J$2)+SUMIFS('Loan Entry'!$V$23:$V$26,'Loan Entry'!$D$23:$D$26,$C$2,'Loan Entry'!$AB$23:$AB$26,"*Oct*",'Loan Entry'!$M$23:$M$26,'Loans to Cash Flows Wkst'!J$2)+SUMIFS('Loan Entry'!$V$31:$V$34,'Loan Entry'!$D$31:$D$34,$C$2,'Loan Entry'!$AB$31:$AB$34,"*Oct*",'Loan Entry'!$M$31:$M$34,'Loans to Cash Flows Wkst'!J$2)+SUMIFS('Loan Entry'!$V$47:$V$50,'Loan Entry'!$D$47:$D$50,$C$2,'Loan Entry'!$AB$47:$AB$50,"*Oct*",'Loan Entry'!$M$47:$M$50,'Loans to Cash Flows Wkst'!J$2) +SUMIFS('Loan Entry'!$V$55:$V$58,'Loan Entry'!$D$55:$D$58,$C$2,'Loan Entry'!$AB$55:$AB$58,"*Oct*",'Loan Entry'!$M$55:$M$58,'Loans to Cash Flows Wkst'!J$2)+SUMIFS('Loan Entry'!$V$39:$V$42,'Loan Entry'!$D$39:$D$42,$C$2,'Loan Entry'!$AB$39:$AB$42,"*Oct*",'Loan Entry'!$M$39:$M$42,'Loans to Cash Flows Wkst'!J$2)</f>
        <v>0</v>
      </c>
      <c r="K12" s="687">
        <f>SUMIFS('Loan Entry'!$V$15:$V$18,'Loan Entry'!$D$15:$D$18,$C$2,'Loan Entry'!$AB$15:$AB$18,"*Oct*",'Loan Entry'!$M$15:$M$18,'Loans to Cash Flows Wkst'!K$2)+SUMIFS('Loan Entry'!$V$23:$V$26,'Loan Entry'!$D$23:$D$26,$C$2,'Loan Entry'!$AB$23:$AB$26,"*Oct*",'Loan Entry'!$M$23:$M$26,'Loans to Cash Flows Wkst'!K$2)+SUMIFS('Loan Entry'!$V$31:$V$34,'Loan Entry'!$D$31:$D$34,$C$2,'Loan Entry'!$AB$31:$AB$34,"*Oct*",'Loan Entry'!$M$31:$M$34,'Loans to Cash Flows Wkst'!K$2)+SUMIFS('Loan Entry'!$V$47:$V$50,'Loan Entry'!$D$47:$D$50,$C$2,'Loan Entry'!$AB$47:$AB$50,"*Oct*",'Loan Entry'!$M$47:$M$50,'Loans to Cash Flows Wkst'!K$2) +SUMIFS('Loan Entry'!$V$55:$V$58,'Loan Entry'!$D$55:$D$58,$C$2,'Loan Entry'!$AB$55:$AB$58,"*Oct*",'Loan Entry'!$M$55:$M$58,'Loans to Cash Flows Wkst'!K$2)+SUMIFS('Loan Entry'!$V$39:$V$42,'Loan Entry'!$D$39:$D$42,$C$2,'Loan Entry'!$AB$39:$AB$42,"*Oct*",'Loan Entry'!$M$39:$M$42,'Loans to Cash Flows Wkst'!K$2)</f>
        <v>0</v>
      </c>
      <c r="M12" s="774" t="s">
        <v>12</v>
      </c>
      <c r="N12" s="687">
        <f>SUMIFS('Loan Entry'!$W$15:$W$18,'Loan Entry'!$D$15:$D$18,$C$2,'Loan Entry'!$AB$15:$AB$18,$C12,'Loan Entry'!$M$15:$M$18,'Loans to Cash Flows Wkst'!N$2)+SUMIFS('Loan Entry'!$W$23:$W$26,'Loan Entry'!$D$23:$D$26,$C$2,'Loan Entry'!$AB$23:$AB$26,$C12,'Loan Entry'!$M$23:$M$26,'Loans to Cash Flows Wkst'!N$2)+SUMIFS('Loan Entry'!$W$31:$W$34,'Loan Entry'!$D$31:$D$34,$C$2,'Loan Entry'!$AB$31:$AB$34,$C12,'Loan Entry'!$M$31:$M$34,'Loans to Cash Flows Wkst'!N$2)+SUMIFS('Loan Entry'!$W$47:$W$50,'Loan Entry'!$D$47:$D$50,$C$2,'Loan Entry'!$AB$47:$AB$50,$C12,'Loan Entry'!$M$47:$M$50,'Loans to Cash Flows Wkst'!N$2)+SUMIFS('Loan Entry'!$W$55:$W$58,'Loan Entry'!$D$55:$D$58,$C$2,'Loan Entry'!$AB$55:$AB$58,$C12,'Loan Entry'!$M$55:$M$58,'Loans to Cash Flows Wkst'!N$2)+SUMIFS('Loan Entry'!$W$39:$W$42,'Loan Entry'!$D$39:$D$42,$C$2,'Loan Entry'!$AB$39:$AB$42,$C12,'Loan Entry'!$M$39:$M$42,'Loans to Cash Flows Wkst'!N$2)</f>
        <v>0</v>
      </c>
      <c r="O12" s="687">
        <f>SUMIFS('Loan Entry'!$W$15:$W$18,'Loan Entry'!$D$15:$D$18,$C$2,'Loan Entry'!$AB$15:$AB$18,"*Oct*",'Loan Entry'!$M$15:$M$18,'Loans to Cash Flows Wkst'!O$2)+SUMIFS('Loan Entry'!$W$23:$W$26,'Loan Entry'!$D$23:$D$26,$C$2,'Loan Entry'!$AB$23:$AB$26,"*Oct*",'Loan Entry'!$M$23:$M$26,'Loans to Cash Flows Wkst'!O$2)+SUMIFS('Loan Entry'!$W$31:$W$34,'Loan Entry'!$D$31:$D$34,$C$2,'Loan Entry'!$AB$31:$AB$34,"*Oct*",'Loan Entry'!$M$31:$M$34,'Loans to Cash Flows Wkst'!O$2)+SUMIFS('Loan Entry'!$W$47:$W$50,'Loan Entry'!$D$47:$D$50,$C$2,'Loan Entry'!$AB$47:$AB$50,"*Oct*",'Loan Entry'!$M$47:$M$50,'Loans to Cash Flows Wkst'!O$2)+SUMIFS('Loan Entry'!$W$55:$W$58,'Loan Entry'!$D$55:$D$58,$C$2,'Loan Entry'!$AB$55:$AB$58,"*Oct*",'Loan Entry'!$M$55:$M$58,'Loans to Cash Flows Wkst'!O$2)+SUMIFS('Loan Entry'!$W$39:$W$42,'Loan Entry'!$D$39:$D$42,$C$2,'Loan Entry'!$AB$39:$AB$42,"*Oct*",'Loan Entry'!$M$39:$M$42,'Loans to Cash Flows Wkst'!O$2)</f>
        <v>0</v>
      </c>
      <c r="P12" s="687">
        <f>SUMIFS('Loan Entry'!$W$15:$W$18,'Loan Entry'!$D$15:$D$18,$C$2,'Loan Entry'!$AB$15:$AB$18,"*Oct*",'Loan Entry'!$M$15:$M$18,'Loans to Cash Flows Wkst'!P$2)+SUMIFS('Loan Entry'!$W$23:$W$26,'Loan Entry'!$D$23:$D$26,$C$2,'Loan Entry'!$AB$23:$AB$26,"*Oct*",'Loan Entry'!$M$23:$M$26,'Loans to Cash Flows Wkst'!P$2)+SUMIFS('Loan Entry'!$W$31:$W$34,'Loan Entry'!$D$31:$D$34,$C$2,'Loan Entry'!$AB$31:$AB$34,"*Oct*",'Loan Entry'!$M$31:$M$34,'Loans to Cash Flows Wkst'!P$2)+SUMIFS('Loan Entry'!$W$47:$W$50,'Loan Entry'!$D$47:$D$50,$C$2,'Loan Entry'!$AB$47:$AB$50,"*Oct*",'Loan Entry'!$M$47:$M$50,'Loans to Cash Flows Wkst'!P$2)+SUMIFS('Loan Entry'!$W$55:$W$58,'Loan Entry'!$D$55:$D$58,$C$2,'Loan Entry'!$AB$55:$AB$58,"*Oct*",'Loan Entry'!$M$55:$M$58,'Loans to Cash Flows Wkst'!P$2)+SUMIFS('Loan Entry'!$W$39:$W$42,'Loan Entry'!$D$39:$D$42,$C$2,'Loan Entry'!$AB$39:$AB$42,"*Oct*",'Loan Entry'!$M$39:$M$42,'Loans to Cash Flows Wkst'!P$2)</f>
        <v>0</v>
      </c>
      <c r="Q12" s="687">
        <f>SUMIFS('Loan Entry'!$W$15:$W$18,'Loan Entry'!$D$15:$D$18,$C$2,'Loan Entry'!$AB$15:$AB$18,"*Oct*",'Loan Entry'!$M$15:$M$18,'Loans to Cash Flows Wkst'!Q$2)+SUMIFS('Loan Entry'!$W$23:$W$26,'Loan Entry'!$D$23:$D$26,$C$2,'Loan Entry'!$AB$23:$AB$26,"*Oct*",'Loan Entry'!$M$23:$M$26,'Loans to Cash Flows Wkst'!Q$2)+SUMIFS('Loan Entry'!$W$31:$W$34,'Loan Entry'!$D$31:$D$34,$C$2,'Loan Entry'!$AB$31:$AB$34,"*Oct*",'Loan Entry'!$M$31:$M$34,'Loans to Cash Flows Wkst'!Q$2)+SUMIFS('Loan Entry'!$W$47:$W$50,'Loan Entry'!$D$47:$D$50,$C$2,'Loan Entry'!$AB$47:$AB$50,"*Oct*",'Loan Entry'!$M$47:$M$50,'Loans to Cash Flows Wkst'!Q$2)+SUMIFS('Loan Entry'!$W$55:$W$58,'Loan Entry'!$D$55:$D$58,$C$2,'Loan Entry'!$AB$55:$AB$58,"*Oct*",'Loan Entry'!$M$55:$M$58,'Loans to Cash Flows Wkst'!Q$2)+SUMIFS('Loan Entry'!$W$39:$W$42,'Loan Entry'!$D$39:$D$42,$C$2,'Loan Entry'!$AB$39:$AB$42,"*Oct*",'Loan Entry'!$M$39:$M$42,'Loans to Cash Flows Wkst'!Q$2)</f>
        <v>0</v>
      </c>
    </row>
    <row r="13" spans="2:17" x14ac:dyDescent="0.2">
      <c r="B13" s="777" t="s">
        <v>191</v>
      </c>
      <c r="C13" s="778" t="s">
        <v>13</v>
      </c>
      <c r="D13" s="779">
        <f>SUM('Loans to Cash Flows Wkst'!$H13:$K13)</f>
        <v>0</v>
      </c>
      <c r="E13" s="686">
        <f>SUM('Loans to Cash Flows Wkst'!$N13:$Q13)</f>
        <v>0</v>
      </c>
      <c r="G13" s="777" t="s">
        <v>13</v>
      </c>
      <c r="H13" s="779">
        <f>SUMIFS('Loan Entry'!$V$15:$V$18,'Loan Entry'!$D$15:$D$18,$C$2,'Loan Entry'!$AB$15:$AB$18,$C13,'Loan Entry'!$M$15:$M$18,'Loans to Cash Flows Wkst'!H$2)+SUMIFS('Loan Entry'!$V$23:$V$26,'Loan Entry'!$D$23:$D$26,$C$2,'Loan Entry'!$AB$23:$AB$26,$C13,'Loan Entry'!$M$23:$M$26,'Loans to Cash Flows Wkst'!H$2)+SUMIFS('Loan Entry'!$V$31:$V$34,'Loan Entry'!$D$31:$D$34,$C$2,'Loan Entry'!$AB$31:$AB$34,$C13,'Loan Entry'!$M$31:$M$34,'Loans to Cash Flows Wkst'!H$2)+SUMIFS('Loan Entry'!$V$47:$V$50,'Loan Entry'!$D$47:$D$50,$C$2,'Loan Entry'!$AB$47:$AB$50,$C13,'Loan Entry'!$M$47:$M$50,'Loans to Cash Flows Wkst'!H$2) +SUMIFS('Loan Entry'!$V$55:$V$58,'Loan Entry'!$D$55:$D$58,$C$2,'Loan Entry'!$AB$55:$AB$58,$C13,'Loan Entry'!$M$55:$M$58,'Loans to Cash Flows Wkst'!H$2)+SUMIFS('Loan Entry'!$V$39:$V$42,'Loan Entry'!$D$39:$D$42,$C$2,'Loan Entry'!$AB$39:$AB$42,$C13,'Loan Entry'!$M$39:$M$42,'Loans to Cash Flows Wkst'!H$2)</f>
        <v>0</v>
      </c>
      <c r="I13" s="686">
        <f>SUMIFS('Loan Entry'!$V$15:$V$18,'Loan Entry'!$D$15:$D$18,$C$2,'Loan Entry'!$AB$15:$AB$18,"*Nov*",'Loan Entry'!$M$15:$M$18,'Loans to Cash Flows Wkst'!I$2)+SUMIFS('Loan Entry'!$V$23:$V$26,'Loan Entry'!$D$23:$D$26,$C$2,'Loan Entry'!$AB$23:$AB$26,"*Nov*",'Loan Entry'!$M$23:$M$26,'Loans to Cash Flows Wkst'!I$2)+SUMIFS('Loan Entry'!$V$31:$V$34,'Loan Entry'!$D$31:$D$34,$C$2,'Loan Entry'!$AB$31:$AB$34,"*Nov*",'Loan Entry'!$M$31:$M$34,'Loans to Cash Flows Wkst'!I$2)+SUMIFS('Loan Entry'!$V$47:$V$50,'Loan Entry'!$D$47:$D$50,$C$2,'Loan Entry'!$AB$47:$AB$50,"*Nov*",'Loan Entry'!$M$47:$M$50,'Loans to Cash Flows Wkst'!I$2)+SUMIFS('Loan Entry'!$V$55:$V$58,'Loan Entry'!$D$55:$D$58,$C$2,'Loan Entry'!$AB$55:$AB$58,"*Nov*",'Loan Entry'!$M$55:$M$58,'Loans to Cash Flows Wkst'!I$2)+SUMIFS('Loan Entry'!$V$39:$V$42,'Loan Entry'!$D$39:$D$42,$C$2,'Loan Entry'!$AB$39:$AB$42,"*Nov*",'Loan Entry'!$M$39:$M$42,'Loans to Cash Flows Wkst'!I$2)</f>
        <v>0</v>
      </c>
      <c r="J13" s="686">
        <f>SUMIFS('Loan Entry'!$V$15:$V$18,'Loan Entry'!$D$15:$D$18,$C$2,'Loan Entry'!$AB$15:$AB$18,"*Nov*",'Loan Entry'!$M$15:$M$18,'Loans to Cash Flows Wkst'!J$2)+SUMIFS('Loan Entry'!$V$23:$V$26,'Loan Entry'!$D$23:$D$26,$C$2,'Loan Entry'!$AB$23:$AB$26,"*Nov*",'Loan Entry'!$M$23:$M$26,'Loans to Cash Flows Wkst'!J$2)+SUMIFS('Loan Entry'!$V$31:$V$34,'Loan Entry'!$D$31:$D$34,$C$2,'Loan Entry'!$AB$31:$AB$34,"*Nov*",'Loan Entry'!$M$31:$M$34,'Loans to Cash Flows Wkst'!J$2)+SUMIFS('Loan Entry'!$V$47:$V$50,'Loan Entry'!$D$47:$D$50,$C$2,'Loan Entry'!$AB$47:$AB$50,"*Nov*",'Loan Entry'!$M$47:$M$50,'Loans to Cash Flows Wkst'!J$2) +SUMIFS('Loan Entry'!$V$55:$V$58,'Loan Entry'!$D$55:$D$58,$C$2,'Loan Entry'!$AB$55:$AB$58,"*Nov*",'Loan Entry'!$M$55:$M$58,'Loans to Cash Flows Wkst'!J$2)+SUMIFS('Loan Entry'!$V$39:$V$42,'Loan Entry'!$D$39:$D$42,$C$2,'Loan Entry'!$AB$39:$AB$42,"*Nov*",'Loan Entry'!$M$39:$M$42,'Loans to Cash Flows Wkst'!J$2)</f>
        <v>0</v>
      </c>
      <c r="K13" s="686">
        <f>SUMIFS('Loan Entry'!$V$15:$V$18,'Loan Entry'!$D$15:$D$18,$C$2,'Loan Entry'!$AB$15:$AB$18,"*Nov*",'Loan Entry'!$M$15:$M$18,'Loans to Cash Flows Wkst'!K$2)+SUMIFS('Loan Entry'!$V$23:$V$26,'Loan Entry'!$D$23:$D$26,$C$2,'Loan Entry'!$AB$23:$AB$26,"*Nov*",'Loan Entry'!$M$23:$M$26,'Loans to Cash Flows Wkst'!K$2)+SUMIFS('Loan Entry'!$V$31:$V$34,'Loan Entry'!$D$31:$D$34,$C$2,'Loan Entry'!$AB$31:$AB$34,"*Nov*",'Loan Entry'!$M$31:$M$34,'Loans to Cash Flows Wkst'!K$2)+SUMIFS('Loan Entry'!$V$47:$V$50,'Loan Entry'!$D$47:$D$50,$C$2,'Loan Entry'!$AB$47:$AB$50,"*Nov*",'Loan Entry'!$M$47:$M$50,'Loans to Cash Flows Wkst'!K$2) +SUMIFS('Loan Entry'!$V$55:$V$58,'Loan Entry'!$D$55:$D$58,$C$2,'Loan Entry'!$AB$55:$AB$58,"*Nov*",'Loan Entry'!$M$55:$M$58,'Loans to Cash Flows Wkst'!K$2)+SUMIFS('Loan Entry'!$V$39:$V$42,'Loan Entry'!$D$39:$D$42,$C$2,'Loan Entry'!$AB$39:$AB$42,"*Nov*",'Loan Entry'!$M$39:$M$42,'Loans to Cash Flows Wkst'!K$2)</f>
        <v>0</v>
      </c>
      <c r="M13" s="777" t="s">
        <v>13</v>
      </c>
      <c r="N13" s="686">
        <f>SUMIFS('Loan Entry'!$W$15:$W$18,'Loan Entry'!$D$15:$D$18,$C$2,'Loan Entry'!$AB$15:$AB$18,$C13,'Loan Entry'!$M$15:$M$18,'Loans to Cash Flows Wkst'!N$2)+SUMIFS('Loan Entry'!$W$23:$W$26,'Loan Entry'!$D$23:$D$26,$C$2,'Loan Entry'!$AB$23:$AB$26,$C13,'Loan Entry'!$M$23:$M$26,'Loans to Cash Flows Wkst'!N$2)+SUMIFS('Loan Entry'!$W$31:$W$34,'Loan Entry'!$D$31:$D$34,$C$2,'Loan Entry'!$AB$31:$AB$34,$C13,'Loan Entry'!$M$31:$M$34,'Loans to Cash Flows Wkst'!N$2)+SUMIFS('Loan Entry'!$W$47:$W$50,'Loan Entry'!$D$47:$D$50,$C$2,'Loan Entry'!$AB$47:$AB$50,$C13,'Loan Entry'!$M$47:$M$50,'Loans to Cash Flows Wkst'!N$2)+SUMIFS('Loan Entry'!$W$55:$W$58,'Loan Entry'!$D$55:$D$58,$C$2,'Loan Entry'!$AB$55:$AB$58,$C13,'Loan Entry'!$M$55:$M$58,'Loans to Cash Flows Wkst'!N$2)+SUMIFS('Loan Entry'!$W$39:$W$42,'Loan Entry'!$D$39:$D$42,$C$2,'Loan Entry'!$AB$39:$AB$42,$C13,'Loan Entry'!$M$39:$M$42,'Loans to Cash Flows Wkst'!N$2)</f>
        <v>0</v>
      </c>
      <c r="O13" s="686">
        <f>SUMIFS('Loan Entry'!$W$15:$W$18,'Loan Entry'!$D$15:$D$18,$C$2,'Loan Entry'!$AB$15:$AB$18,"*Nov*",'Loan Entry'!$M$15:$M$18,'Loans to Cash Flows Wkst'!O$2)+SUMIFS('Loan Entry'!$W$23:$W$26,'Loan Entry'!$D$23:$D$26,$C$2,'Loan Entry'!$AB$23:$AB$26,"*Nov*",'Loan Entry'!$M$23:$M$26,'Loans to Cash Flows Wkst'!O$2)+SUMIFS('Loan Entry'!$W$31:$W$34,'Loan Entry'!$D$31:$D$34,$C$2,'Loan Entry'!$AB$31:$AB$34,"*Nov*",'Loan Entry'!$M$31:$M$34,'Loans to Cash Flows Wkst'!O$2)+SUMIFS('Loan Entry'!$W$47:$W$50,'Loan Entry'!$D$47:$D$50,$C$2,'Loan Entry'!$AB$47:$AB$50,"*Nov*",'Loan Entry'!$M$47:$M$50,'Loans to Cash Flows Wkst'!O$2)+SUMIFS('Loan Entry'!$W$55:$W$58,'Loan Entry'!$D$55:$D$58,$C$2,'Loan Entry'!$AB$55:$AB$58,"*Nov*",'Loan Entry'!$M$55:$M$58,'Loans to Cash Flows Wkst'!O$2)+SUMIFS('Loan Entry'!$W$39:$W$42,'Loan Entry'!$D$39:$D$42,$C$2,'Loan Entry'!$AB$39:$AB$42,"*Nov*",'Loan Entry'!$M$39:$M$42,'Loans to Cash Flows Wkst'!O$2)</f>
        <v>0</v>
      </c>
      <c r="P13" s="686">
        <f>SUMIFS('Loan Entry'!$W$15:$W$18,'Loan Entry'!$D$15:$D$18,$C$2,'Loan Entry'!$AB$15:$AB$18,"*Nov*",'Loan Entry'!$M$15:$M$18,'Loans to Cash Flows Wkst'!P$2)+SUMIFS('Loan Entry'!$W$23:$W$26,'Loan Entry'!$D$23:$D$26,$C$2,'Loan Entry'!$AB$23:$AB$26,"*Nov*",'Loan Entry'!$M$23:$M$26,'Loans to Cash Flows Wkst'!P$2)+SUMIFS('Loan Entry'!$W$31:$W$34,'Loan Entry'!$D$31:$D$34,$C$2,'Loan Entry'!$AB$31:$AB$34,"*Nov*",'Loan Entry'!$M$31:$M$34,'Loans to Cash Flows Wkst'!P$2)+SUMIFS('Loan Entry'!$W$47:$W$50,'Loan Entry'!$D$47:$D$50,$C$2,'Loan Entry'!$AB$47:$AB$50,"*Nov*",'Loan Entry'!$M$47:$M$50,'Loans to Cash Flows Wkst'!P$2)+SUMIFS('Loan Entry'!$W$55:$W$58,'Loan Entry'!$D$55:$D$58,$C$2,'Loan Entry'!$AB$55:$AB$58,"*Nov*",'Loan Entry'!$M$55:$M$58,'Loans to Cash Flows Wkst'!P$2)+SUMIFS('Loan Entry'!$W$39:$W$42,'Loan Entry'!$D$39:$D$42,$C$2,'Loan Entry'!$AB$39:$AB$42,"*Nov*",'Loan Entry'!$M$39:$M$42,'Loans to Cash Flows Wkst'!P$2)</f>
        <v>0</v>
      </c>
      <c r="Q13" s="686">
        <f>SUMIFS('Loan Entry'!$W$15:$W$18,'Loan Entry'!$D$15:$D$18,$C$2,'Loan Entry'!$AB$15:$AB$18,"*Nov*",'Loan Entry'!$M$15:$M$18,'Loans to Cash Flows Wkst'!Q$2)+SUMIFS('Loan Entry'!$W$23:$W$26,'Loan Entry'!$D$23:$D$26,$C$2,'Loan Entry'!$AB$23:$AB$26,"*Nov*",'Loan Entry'!$M$23:$M$26,'Loans to Cash Flows Wkst'!Q$2)+SUMIFS('Loan Entry'!$W$31:$W$34,'Loan Entry'!$D$31:$D$34,$C$2,'Loan Entry'!$AB$31:$AB$34,"*Nov*",'Loan Entry'!$M$31:$M$34,'Loans to Cash Flows Wkst'!Q$2)+SUMIFS('Loan Entry'!$W$47:$W$50,'Loan Entry'!$D$47:$D$50,$C$2,'Loan Entry'!$AB$47:$AB$50,"*Nov*",'Loan Entry'!$M$47:$M$50,'Loans to Cash Flows Wkst'!Q$2)+SUMIFS('Loan Entry'!$W$55:$W$58,'Loan Entry'!$D$55:$D$58,$C$2,'Loan Entry'!$AB$55:$AB$58,"*Nov*",'Loan Entry'!$M$55:$M$58,'Loans to Cash Flows Wkst'!Q$2)+SUMIFS('Loan Entry'!$W$39:$W$42,'Loan Entry'!$D$39:$D$42,$C$2,'Loan Entry'!$AB$39:$AB$42,"*Nov*",'Loan Entry'!$M$39:$M$42,'Loans to Cash Flows Wkst'!Q$2)</f>
        <v>0</v>
      </c>
    </row>
    <row r="14" spans="2:17" ht="13.5" thickBot="1" x14ac:dyDescent="0.25">
      <c r="B14" s="774" t="s">
        <v>192</v>
      </c>
      <c r="C14" s="780" t="s">
        <v>14</v>
      </c>
      <c r="D14" s="776">
        <f>SUM('Loans to Cash Flows Wkst'!$H14:$K14)</f>
        <v>0</v>
      </c>
      <c r="E14" s="687">
        <f>SUM('Loans to Cash Flows Wkst'!$N14:$Q14)</f>
        <v>0</v>
      </c>
      <c r="G14" s="774" t="s">
        <v>14</v>
      </c>
      <c r="H14" s="776">
        <f>SUMIFS('Loan Entry'!$V$15:$V$18,'Loan Entry'!$D$15:$D$18,$C$2,'Loan Entry'!$AB$15:$AB$18,$C14,'Loan Entry'!$M$15:$M$18,'Loans to Cash Flows Wkst'!H$2)+SUMIFS('Loan Entry'!$V$23:$V$26,'Loan Entry'!$D$23:$D$26,$C$2,'Loan Entry'!$AB$23:$AB$26,$C14,'Loan Entry'!$M$23:$M$26,'Loans to Cash Flows Wkst'!H$2)+SUMIFS('Loan Entry'!$V$31:$V$34,'Loan Entry'!$D$31:$D$34,$C$2,'Loan Entry'!$AB$31:$AB$34,$C14,'Loan Entry'!$M$31:$M$34,'Loans to Cash Flows Wkst'!H$2)+SUMIFS('Loan Entry'!$V$47:$V$50,'Loan Entry'!$D$47:$D$50,$C$2,'Loan Entry'!$AB$47:$AB$50,$C14,'Loan Entry'!$M$47:$M$50,'Loans to Cash Flows Wkst'!H$2) +SUMIFS('Loan Entry'!$V$55:$V$58,'Loan Entry'!$D$55:$D$58,$C$2,'Loan Entry'!$AB$55:$AB$58,$C14,'Loan Entry'!$M$55:$M$58,'Loans to Cash Flows Wkst'!H$2)+SUMIFS('Loan Entry'!$V$39:$V$42,'Loan Entry'!$D$39:$D$42,$C$2,'Loan Entry'!$AB$39:$AB$42,$C14,'Loan Entry'!$M$39:$M$42,'Loans to Cash Flows Wkst'!H$2)</f>
        <v>0</v>
      </c>
      <c r="I14" s="687">
        <f>SUMIFS('Loan Entry'!$V$15:$V$18,'Loan Entry'!$D$15:$D$18,$C$2,'Loan Entry'!$AB$15:$AB$18,"*Dec*",'Loan Entry'!$M$15:$M$18,'Loans to Cash Flows Wkst'!I$2)+SUMIFS('Loan Entry'!$V$23:$V$26,'Loan Entry'!$D$23:$D$26,$C$2,'Loan Entry'!$AB$23:$AB$26,"*Dec*",'Loan Entry'!$M$23:$M$26,'Loans to Cash Flows Wkst'!I$2)+SUMIFS('Loan Entry'!$V$31:$V$34,'Loan Entry'!$D$31:$D$34,$C$2,'Loan Entry'!$AB$31:$AB$34,"*Dec*",'Loan Entry'!$M$31:$M$34,'Loans to Cash Flows Wkst'!I$2)+SUMIFS('Loan Entry'!$V$47:$V$50,'Loan Entry'!$D$47:$D$50,$C$2,'Loan Entry'!$AB$47:$AB$50,"*Dec*",'Loan Entry'!$M$47:$M$50,'Loans to Cash Flows Wkst'!I$2)+SUMIFS('Loan Entry'!$V$55:$V$58,'Loan Entry'!$D$55:$D$58,$C$2,'Loan Entry'!$AB$55:$AB$58,"*Dec*",'Loan Entry'!$M$55:$M$58,'Loans to Cash Flows Wkst'!I$2)+SUMIFS('Loan Entry'!$V$39:$V$42,'Loan Entry'!$D$39:$D$42,$C$2,'Loan Entry'!$AB$39:$AB$42,"*Dec*",'Loan Entry'!$M$39:$M$42,'Loans to Cash Flows Wkst'!I$2)</f>
        <v>0</v>
      </c>
      <c r="J14" s="687">
        <f>SUMIFS('Loan Entry'!$V$15:$V$18,'Loan Entry'!$D$15:$D$18,$C$2,'Loan Entry'!$AB$15:$AB$18,"*Dec*",'Loan Entry'!$M$15:$M$18,'Loans to Cash Flows Wkst'!J$2)+SUMIFS('Loan Entry'!$V$23:$V$26,'Loan Entry'!$D$23:$D$26,$C$2,'Loan Entry'!$AB$23:$AB$26,"*Dec*",'Loan Entry'!$M$23:$M$26,'Loans to Cash Flows Wkst'!J$2)+SUMIFS('Loan Entry'!$V$31:$V$34,'Loan Entry'!$D$31:$D$34,$C$2,'Loan Entry'!$AB$31:$AB$34,"*Dec*",'Loan Entry'!$M$31:$M$34,'Loans to Cash Flows Wkst'!J$2)+SUMIFS('Loan Entry'!$V$47:$V$50,'Loan Entry'!$D$47:$D$50,$C$2,'Loan Entry'!$AB$47:$AB$50,"*Dec*",'Loan Entry'!$M$47:$M$50,'Loans to Cash Flows Wkst'!J$2) +SUMIFS('Loan Entry'!$V$55:$V$58,'Loan Entry'!$D$55:$D$58,$C$2,'Loan Entry'!$AB$55:$AB$58,"*Dec*",'Loan Entry'!$M$55:$M$58,'Loans to Cash Flows Wkst'!J$2)+SUMIFS('Loan Entry'!$V$39:$V$42,'Loan Entry'!$D$39:$D$42,$C$2,'Loan Entry'!$AB$39:$AB$42,"*Dec*",'Loan Entry'!$M$39:$M$42,'Loans to Cash Flows Wkst'!J$2)</f>
        <v>0</v>
      </c>
      <c r="K14" s="687">
        <f>SUMIFS('Loan Entry'!$V$15:$V$18,'Loan Entry'!$D$15:$D$18,$C$2,'Loan Entry'!$AB$15:$AB$18,"*Dec*",'Loan Entry'!$M$15:$M$18,'Loans to Cash Flows Wkst'!K$2)+SUMIFS('Loan Entry'!$V$23:$V$26,'Loan Entry'!$D$23:$D$26,$C$2,'Loan Entry'!$AB$23:$AB$26,"*Dec*",'Loan Entry'!$M$23:$M$26,'Loans to Cash Flows Wkst'!K$2)+SUMIFS('Loan Entry'!$V$31:$V$34,'Loan Entry'!$D$31:$D$34,$C$2,'Loan Entry'!$AB$31:$AB$34,"*Dec*",'Loan Entry'!$M$31:$M$34,'Loans to Cash Flows Wkst'!K$2)+SUMIFS('Loan Entry'!$V$47:$V$50,'Loan Entry'!$D$47:$D$50,$C$2,'Loan Entry'!$AB$47:$AB$50,"*Dec*",'Loan Entry'!$M$47:$M$50,'Loans to Cash Flows Wkst'!K$2) +SUMIFS('Loan Entry'!$V$55:$V$58,'Loan Entry'!$D$55:$D$58,$C$2,'Loan Entry'!$AB$55:$AB$58,"*Dec*",'Loan Entry'!$M$55:$M$58,'Loans to Cash Flows Wkst'!K$2)+SUMIFS('Loan Entry'!$V$39:$V$42,'Loan Entry'!$D$39:$D$42,$C$2,'Loan Entry'!$AB$39:$AB$42,"*Dec*",'Loan Entry'!$M$39:$M$42,'Loans to Cash Flows Wkst'!K$2)</f>
        <v>0</v>
      </c>
      <c r="M14" s="774" t="s">
        <v>14</v>
      </c>
      <c r="N14" s="687">
        <f>SUMIFS('Loan Entry'!$W$15:$W$18,'Loan Entry'!$D$15:$D$18,$C$2,'Loan Entry'!$AB$15:$AB$18,$C14,'Loan Entry'!$M$15:$M$18,'Loans to Cash Flows Wkst'!N$2)+SUMIFS('Loan Entry'!$W$23:$W$26,'Loan Entry'!$D$23:$D$26,$C$2,'Loan Entry'!$AB$23:$AB$26,$C14,'Loan Entry'!$M$23:$M$26,'Loans to Cash Flows Wkst'!N$2)+SUMIFS('Loan Entry'!$W$31:$W$34,'Loan Entry'!$D$31:$D$34,$C$2,'Loan Entry'!$AB$31:$AB$34,$C14,'Loan Entry'!$M$31:$M$34,'Loans to Cash Flows Wkst'!N$2)+SUMIFS('Loan Entry'!$W$47:$W$50,'Loan Entry'!$D$47:$D$50,$C$2,'Loan Entry'!$AB$47:$AB$50,$C14,'Loan Entry'!$M$47:$M$50,'Loans to Cash Flows Wkst'!N$2)+SUMIFS('Loan Entry'!$W$55:$W$58,'Loan Entry'!$D$55:$D$58,$C$2,'Loan Entry'!$AB$55:$AB$58,$C14,'Loan Entry'!$M$55:$M$58,'Loans to Cash Flows Wkst'!N$2)+SUMIFS('Loan Entry'!$W$39:$W$42,'Loan Entry'!$D$39:$D$42,$C$2,'Loan Entry'!$AB$39:$AB$42,$C14,'Loan Entry'!$M$39:$M$42,'Loans to Cash Flows Wkst'!N$2)</f>
        <v>0</v>
      </c>
      <c r="O14" s="687">
        <f>SUMIFS('Loan Entry'!$W$15:$W$18,'Loan Entry'!$D$15:$D$18,$C$2,'Loan Entry'!$AB$15:$AB$18,"*Dec*",'Loan Entry'!$M$15:$M$18,'Loans to Cash Flows Wkst'!O$2)+SUMIFS('Loan Entry'!$W$23:$W$26,'Loan Entry'!$D$23:$D$26,$C$2,'Loan Entry'!$AB$23:$AB$26,"*Dec*",'Loan Entry'!$M$23:$M$26,'Loans to Cash Flows Wkst'!O$2)+SUMIFS('Loan Entry'!$W$31:$W$34,'Loan Entry'!$D$31:$D$34,$C$2,'Loan Entry'!$AB$31:$AB$34,"*Dec*",'Loan Entry'!$M$31:$M$34,'Loans to Cash Flows Wkst'!O$2)+SUMIFS('Loan Entry'!$W$47:$W$50,'Loan Entry'!$D$47:$D$50,$C$2,'Loan Entry'!$AB$47:$AB$50,"*Dec*",'Loan Entry'!$M$47:$M$50,'Loans to Cash Flows Wkst'!O$2)+SUMIFS('Loan Entry'!$W$55:$W$58,'Loan Entry'!$D$55:$D$58,$C$2,'Loan Entry'!$AB$55:$AB$58,"*Dec*",'Loan Entry'!$M$55:$M$58,'Loans to Cash Flows Wkst'!O$2)+SUMIFS('Loan Entry'!$W$39:$W$42,'Loan Entry'!$D$39:$D$42,$C$2,'Loan Entry'!$AB$39:$AB$42,"*Dec*",'Loan Entry'!$M$39:$M$42,'Loans to Cash Flows Wkst'!O$2)</f>
        <v>0</v>
      </c>
      <c r="P14" s="687">
        <f>SUMIFS('Loan Entry'!$W$15:$W$18,'Loan Entry'!$D$15:$D$18,$C$2,'Loan Entry'!$AB$15:$AB$18,"*Dec*",'Loan Entry'!$M$15:$M$18,'Loans to Cash Flows Wkst'!P$2)+SUMIFS('Loan Entry'!$W$23:$W$26,'Loan Entry'!$D$23:$D$26,$C$2,'Loan Entry'!$AB$23:$AB$26,"*Dec*",'Loan Entry'!$M$23:$M$26,'Loans to Cash Flows Wkst'!P$2)+SUMIFS('Loan Entry'!$W$31:$W$34,'Loan Entry'!$D$31:$D$34,$C$2,'Loan Entry'!$AB$31:$AB$34,"*Dec*",'Loan Entry'!$M$31:$M$34,'Loans to Cash Flows Wkst'!P$2)+SUMIFS('Loan Entry'!$W$47:$W$50,'Loan Entry'!$D$47:$D$50,$C$2,'Loan Entry'!$AB$47:$AB$50,"*Dec*",'Loan Entry'!$M$47:$M$50,'Loans to Cash Flows Wkst'!P$2)+SUMIFS('Loan Entry'!$W$55:$W$58,'Loan Entry'!$D$55:$D$58,$C$2,'Loan Entry'!$AB$55:$AB$58,"*Dec*",'Loan Entry'!$M$55:$M$58,'Loans to Cash Flows Wkst'!P$2)+SUMIFS('Loan Entry'!$W$39:$W$42,'Loan Entry'!$D$39:$D$42,$C$2,'Loan Entry'!$AB$39:$AB$42,"*Dec*",'Loan Entry'!$M$39:$M$42,'Loans to Cash Flows Wkst'!P$2)</f>
        <v>0</v>
      </c>
      <c r="Q14" s="687">
        <f>SUMIFS('Loan Entry'!$W$15:$W$18,'Loan Entry'!$D$15:$D$18,$C$2,'Loan Entry'!$AB$15:$AB$18,"*Dec*",'Loan Entry'!$M$15:$M$18,'Loans to Cash Flows Wkst'!Q$2)+SUMIFS('Loan Entry'!$W$23:$W$26,'Loan Entry'!$D$23:$D$26,$C$2,'Loan Entry'!$AB$23:$AB$26,"*Dec*",'Loan Entry'!$M$23:$M$26,'Loans to Cash Flows Wkst'!Q$2)+SUMIFS('Loan Entry'!$W$31:$W$34,'Loan Entry'!$D$31:$D$34,$C$2,'Loan Entry'!$AB$31:$AB$34,"*Dec*",'Loan Entry'!$M$31:$M$34,'Loans to Cash Flows Wkst'!Q$2)+SUMIFS('Loan Entry'!$W$47:$W$50,'Loan Entry'!$D$47:$D$50,$C$2,'Loan Entry'!$AB$47:$AB$50,"*Dec*",'Loan Entry'!$M$47:$M$50,'Loans to Cash Flows Wkst'!Q$2)+SUMIFS('Loan Entry'!$W$55:$W$58,'Loan Entry'!$D$55:$D$58,$C$2,'Loan Entry'!$AB$55:$AB$58,"*Dec*",'Loan Entry'!$M$55:$M$58,'Loans to Cash Flows Wkst'!Q$2)+SUMIFS('Loan Entry'!$W$39:$W$42,'Loan Entry'!$D$39:$D$42,$C$2,'Loan Entry'!$AB$39:$AB$42,"*Dec*",'Loan Entry'!$M$39:$M$42,'Loans to Cash Flows Wkst'!Q$2)</f>
        <v>0</v>
      </c>
    </row>
    <row r="15" spans="2:17" ht="13.5" thickTop="1" x14ac:dyDescent="0.2">
      <c r="B15" s="781"/>
      <c r="C15" s="782"/>
      <c r="D15" s="783">
        <f>SUM('Loans to Cash Flows Wkst'!$D$3:$D$14)</f>
        <v>0</v>
      </c>
      <c r="E15" s="769">
        <f>SUM('Loans to Cash Flows Wkst'!$E$3:$E$14)</f>
        <v>0</v>
      </c>
      <c r="G15" s="786"/>
      <c r="H15" s="770">
        <f>SUM('Loans to Cash Flows Wkst'!$H$3:$H$14)</f>
        <v>0</v>
      </c>
      <c r="I15" s="770">
        <f>SUM('Loans to Cash Flows Wkst'!$I$3:$I$14)</f>
        <v>0</v>
      </c>
      <c r="J15" s="770">
        <f>SUM('Loans to Cash Flows Wkst'!$J$3:$J$14)</f>
        <v>0</v>
      </c>
      <c r="K15" s="770">
        <f>SUM('Loans to Cash Flows Wkst'!$K$3:$K$14)</f>
        <v>0</v>
      </c>
      <c r="M15" s="786"/>
      <c r="N15" s="770">
        <f>SUM('Loans to Cash Flows Wkst'!$N$3:$N$14)</f>
        <v>0</v>
      </c>
      <c r="O15" s="770">
        <f>SUM('Loans to Cash Flows Wkst'!$O$3:$O$14)</f>
        <v>0</v>
      </c>
      <c r="P15" s="770">
        <f>SUM('Loans to Cash Flows Wkst'!$P$3:$P$14)</f>
        <v>0</v>
      </c>
      <c r="Q15" s="770">
        <f>SUM('Loans to Cash Flows Wkst'!$Q$3:$Q$14)</f>
        <v>0</v>
      </c>
    </row>
    <row r="18" spans="2:17" ht="13.5" thickBot="1" x14ac:dyDescent="0.25">
      <c r="B18" s="407" t="s">
        <v>125</v>
      </c>
      <c r="C18" s="408" t="s">
        <v>173</v>
      </c>
      <c r="D18" s="408" t="s">
        <v>175</v>
      </c>
      <c r="E18" s="408" t="s">
        <v>176</v>
      </c>
      <c r="G18" s="407" t="s">
        <v>196</v>
      </c>
      <c r="H18" s="408" t="s">
        <v>104</v>
      </c>
      <c r="I18" s="408" t="s">
        <v>102</v>
      </c>
      <c r="J18" s="408" t="s">
        <v>100</v>
      </c>
      <c r="K18" s="408" t="s">
        <v>99</v>
      </c>
      <c r="L18" s="57"/>
      <c r="M18" s="407" t="s">
        <v>196</v>
      </c>
      <c r="N18" s="690" t="s">
        <v>104</v>
      </c>
      <c r="O18" s="690" t="s">
        <v>102</v>
      </c>
      <c r="P18" s="690" t="s">
        <v>100</v>
      </c>
      <c r="Q18" s="690" t="s">
        <v>99</v>
      </c>
    </row>
    <row r="19" spans="2:17" ht="13.5" thickTop="1" x14ac:dyDescent="0.2">
      <c r="B19" s="771" t="s">
        <v>182</v>
      </c>
      <c r="C19" s="772" t="s">
        <v>4</v>
      </c>
      <c r="D19" s="693">
        <f>SUM('Loans to Cash Flows Wkst'!$H19:$K19)</f>
        <v>0</v>
      </c>
      <c r="E19" s="693">
        <f>SUM('Loans to Cash Flows Wkst'!$N19:$Q19)</f>
        <v>0</v>
      </c>
      <c r="G19" s="784" t="s">
        <v>4</v>
      </c>
      <c r="H19" s="773">
        <f>SUMIFS('Loan Entry'!$V$15:$V$18,'Loan Entry'!$D$15:$D$18,$C$18,'Loan Entry'!$AB$15:$AB$18,$C19,'Loan Entry'!$M$15:$M$18,'Loans to Cash Flows Wkst'!H$2)+SUMIFS('Loan Entry'!$V$23:$V$26,'Loan Entry'!$D$23:$D$26,$C$18,'Loan Entry'!$AB$23:$AB$26,$C19,'Loan Entry'!$M$23:$M$26,'Loans to Cash Flows Wkst'!H$2)+SUMIFS('Loan Entry'!$V$31:$V$34,'Loan Entry'!$D$31:$D$34,$C$18,'Loan Entry'!$AB$31:$AB$34,$C19,'Loan Entry'!$M$31:$M$34,'Loans to Cash Flows Wkst'!H$2)+SUMIFS('Loan Entry'!$V$47:$V$50,'Loan Entry'!$D$47:$D$50,$C$18,'Loan Entry'!$AB$47:$AB$50,$C19,'Loan Entry'!$M$47:$M$50,'Loans to Cash Flows Wkst'!H$2) +SUMIFS('Loan Entry'!$V$55:$V$58,'Loan Entry'!$D$55:$D$58,$C$18,'Loan Entry'!$AB$55:$AB$58,$C19,'Loan Entry'!$M$55:$M$58,'Loans to Cash Flows Wkst'!H$2)+SUMIFS('Loan Entry'!$V$39:$V$42,'Loan Entry'!$D$39:$D$42,$C$18,'Loan Entry'!$AB$39:$AB$42,$C19,'Loan Entry'!$M$39:$M$42,'Loans to Cash Flows Wkst'!H$2)</f>
        <v>0</v>
      </c>
      <c r="I19" s="693">
        <f>SUMIFS('Loan Entry'!$V$15:$V$18,'Loan Entry'!$D$15:$D$18,$C$18,'Loan Entry'!$AB$15:$AB$18,"*Jan*",'Loan Entry'!$M$15:$M$18,'Loans to Cash Flows Wkst'!I$2)+SUMIFS('Loan Entry'!$V$23:$V$26,'Loan Entry'!$D$23:$D$26,$C$18,'Loan Entry'!$AB$23:$AB$26,"*Jan*",'Loan Entry'!$M$23:$M$26,'Loans to Cash Flows Wkst'!I$2)+SUMIFS('Loan Entry'!$V$31:$V$34,'Loan Entry'!$D$31:$D$34,$C$18,'Loan Entry'!$AB$31:$AB$34,"*Jan*",'Loan Entry'!$M$31:$M$34,'Loans to Cash Flows Wkst'!I$2)+SUMIFS('Loan Entry'!$V$47:$V$50,'Loan Entry'!$D$47:$D$50,$C$18,'Loan Entry'!$AB$47:$AB$50,"*Jan*",'Loan Entry'!$M$47:$M$50,'Loans to Cash Flows Wkst'!I$2)+SUMIFS('Loan Entry'!$V$55:$V$58,'Loan Entry'!$D$55:$D$58,$C$18,'Loan Entry'!$AB$55:$AB$58,"*Jan*",'Loan Entry'!$M$55:$M$58,'Loans to Cash Flows Wkst'!I$2)+SUMIFS('Loan Entry'!$V$39:$V$42,'Loan Entry'!$D$39:$D$42,$C$18,'Loan Entry'!$AB$39:$AB$42,"*Jan*",'Loan Entry'!$M$39:$M$42,'Loans to Cash Flows Wkst'!I$2)</f>
        <v>0</v>
      </c>
      <c r="J19" s="693">
        <f>SUMIFS('Loan Entry'!$V$15:$V$18,'Loan Entry'!$D$15:$D$18,$C$18,'Loan Entry'!$AB$15:$AB$18,"*Jan*",'Loan Entry'!$M$15:$M$18,'Loans to Cash Flows Wkst'!J$2)+SUMIFS('Loan Entry'!$V$23:$V$26,'Loan Entry'!$D$23:$D$26,$C$18,'Loan Entry'!$AB$23:$AB$26,"*Jan*",'Loan Entry'!$M$23:$M$26,'Loans to Cash Flows Wkst'!J$2)+SUMIFS('Loan Entry'!$V$31:$V$34,'Loan Entry'!$D$31:$D$34,$C$18,'Loan Entry'!$AB$31:$AB$34,"*Jan*",'Loan Entry'!$M$31:$M$34,'Loans to Cash Flows Wkst'!J$2)+SUMIFS('Loan Entry'!$V$47:$V$50,'Loan Entry'!$D$47:$D$50,$C$18,'Loan Entry'!$AB$47:$AB$50,"*Jan*",'Loan Entry'!$M$47:$M$50,'Loans to Cash Flows Wkst'!J$2) +SUMIFS('Loan Entry'!$V$55:$V$58,'Loan Entry'!$D$55:$D$58,$C$18,'Loan Entry'!$AB$55:$AB$58,"*Jan*",'Loan Entry'!$M$55:$M$58,'Loans to Cash Flows Wkst'!J$2)+SUMIFS('Loan Entry'!$V$39:$V$42,'Loan Entry'!$D$39:$D$42,$C$18,'Loan Entry'!$AB$39:$AB$42,"*Jan*",'Loan Entry'!$M$39:$M$42,'Loans to Cash Flows Wkst'!J$2)</f>
        <v>0</v>
      </c>
      <c r="K19" s="693">
        <f>SUMIFS('Loan Entry'!$V$15:$V$18,'Loan Entry'!$D$15:$D$18,$C$18,'Loan Entry'!$AB$15:$AB$18,"*Jan*",'Loan Entry'!$M$15:$M$18,'Loans to Cash Flows Wkst'!K$2)+SUMIFS('Loan Entry'!$V$23:$V$26,'Loan Entry'!$D$23:$D$26,$C$18,'Loan Entry'!$AB$23:$AB$26,"*Jan*",'Loan Entry'!$M$23:$M$26,'Loans to Cash Flows Wkst'!K$2)+SUMIFS('Loan Entry'!$V$31:$V$34,'Loan Entry'!$D$31:$D$34,$C$18,'Loan Entry'!$AB$31:$AB$34,"*Jan*",'Loan Entry'!$M$31:$M$34,'Loans to Cash Flows Wkst'!K$2)+SUMIFS('Loan Entry'!$V$47:$V$50,'Loan Entry'!$D$47:$D$50,$C$18,'Loan Entry'!$AB$47:$AB$50,"*Jan*",'Loan Entry'!$M$47:$M$50,'Loans to Cash Flows Wkst'!K$2) +SUMIFS('Loan Entry'!$V$55:$V$58,'Loan Entry'!$D$55:$D$58,$C$18,'Loan Entry'!$AB$55:$AB$58,"*Jan*",'Loan Entry'!$M$55:$M$58,'Loans to Cash Flows Wkst'!K$2)+SUMIFS('Loan Entry'!$V$39:$V$42,'Loan Entry'!$D$39:$D$42,$C$18,'Loan Entry'!$AB$39:$AB$42,"*Jan*",'Loan Entry'!$M$39:$M$42,'Loans to Cash Flows Wkst'!K$2)</f>
        <v>0</v>
      </c>
      <c r="M19" s="784" t="s">
        <v>4</v>
      </c>
      <c r="N19" s="693">
        <f>SUMIFS('Loan Entry'!$W$15:$W$18,'Loan Entry'!$D$15:$D$18,$C$18,'Loan Entry'!$AB$15:$AB$18,$C19,'Loan Entry'!$M$15:$M$18,'Loans to Cash Flows Wkst'!N$2)+SUMIFS('Loan Entry'!$W$23:$W$26,'Loan Entry'!$D$23:$D$26,$C$18,'Loan Entry'!$AB$23:$AB$26,$C19,'Loan Entry'!$M$23:$M$26,'Loans to Cash Flows Wkst'!N$2)+SUMIFS('Loan Entry'!$W$31:$W$34,'Loan Entry'!$D$31:$D$34,$C$18,'Loan Entry'!$AB$31:$AB$34,$C19,'Loan Entry'!$M$31:$M$34,'Loans to Cash Flows Wkst'!N$2)+SUMIFS('Loan Entry'!$W$47:$W$50,'Loan Entry'!$D$47:$D$50,$C$18,'Loan Entry'!$AB$47:$AB$50,$C19,'Loan Entry'!$M$47:$M$50,'Loans to Cash Flows Wkst'!N$2)+SUMIFS('Loan Entry'!$W$55:$W$58,'Loan Entry'!$D$55:$D$58,$C$18,'Loan Entry'!$AB$55:$AB$58,$C19,'Loan Entry'!$M$55:$M$58,'Loans to Cash Flows Wkst'!N$2)+SUMIFS('Loan Entry'!$W$39:$W$42,'Loan Entry'!$D$39:$D$42,$C$18,'Loan Entry'!$AB$39:$AB$42,$C19,'Loan Entry'!$M$39:$M$42,'Loans to Cash Flows Wkst'!N$2)</f>
        <v>0</v>
      </c>
      <c r="O19" s="693">
        <f>SUMIFS('Loan Entry'!$W$15:$W$18,'Loan Entry'!$D$15:$D$18,$C$18,'Loan Entry'!$AB$15:$AB$18,"*Jan*",'Loan Entry'!$M$15:$M$18,'Loans to Cash Flows Wkst'!O$2)+SUMIFS('Loan Entry'!$W$23:$W$26,'Loan Entry'!$D$23:$D$26,$C$18,'Loan Entry'!$AB$23:$AB$26,"*Jan*",'Loan Entry'!$M$23:$M$26,'Loans to Cash Flows Wkst'!O$2)+SUMIFS('Loan Entry'!$W$31:$W$34,'Loan Entry'!$D$31:$D$34,$C$18,'Loan Entry'!$AB$31:$AB$34,"*Jan*",'Loan Entry'!$M$31:$M$34,'Loans to Cash Flows Wkst'!O$2)+SUMIFS('Loan Entry'!$W$47:$W$50,'Loan Entry'!$D$47:$D$50,$C$18,'Loan Entry'!$AB$47:$AB$50,"*Jan*",'Loan Entry'!$M$47:$M$50,'Loans to Cash Flows Wkst'!O$2)+SUMIFS('Loan Entry'!$W$55:$W$58,'Loan Entry'!$D$55:$D$58,$C$18,'Loan Entry'!$AB$55:$AB$58,"*Jan*",'Loan Entry'!$M$55:$M$58,'Loans to Cash Flows Wkst'!O$2)+SUMIFS('Loan Entry'!$W$39:$W$42,'Loan Entry'!$D$39:$D$42,$C$18,'Loan Entry'!$AB$39:$AB$42,"*Jan*",'Loan Entry'!$M$39:$M$42,'Loans to Cash Flows Wkst'!O$2)</f>
        <v>0</v>
      </c>
      <c r="P19" s="693">
        <f>SUMIFS('Loan Entry'!$W$15:$W$18,'Loan Entry'!$D$15:$D$18,$C$18,'Loan Entry'!$AB$15:$AB$18,"*Jan*",'Loan Entry'!$M$15:$M$18,'Loans to Cash Flows Wkst'!P$2)+SUMIFS('Loan Entry'!$W$23:$W$26,'Loan Entry'!$D$23:$D$26,$C$18,'Loan Entry'!$AB$23:$AB$26,"*Jan*",'Loan Entry'!$M$23:$M$26,'Loans to Cash Flows Wkst'!P$2)+SUMIFS('Loan Entry'!$W$31:$W$34,'Loan Entry'!$D$31:$D$34,$C$18,'Loan Entry'!$AB$31:$AB$34,"*Jan*",'Loan Entry'!$M$31:$M$34,'Loans to Cash Flows Wkst'!P$2)+SUMIFS('Loan Entry'!$W$47:$W$50,'Loan Entry'!$D$47:$D$50,$C$18,'Loan Entry'!$AB$47:$AB$50,"*Jan*",'Loan Entry'!$M$47:$M$50,'Loans to Cash Flows Wkst'!P$2)+SUMIFS('Loan Entry'!$W$55:$W$58,'Loan Entry'!$D$55:$D$58,$C$18,'Loan Entry'!$AB$55:$AB$58,"*Jan*",'Loan Entry'!$M$55:$M$58,'Loans to Cash Flows Wkst'!P$2)+SUMIFS('Loan Entry'!$W$39:$W$42,'Loan Entry'!$D$39:$D$42,$C$18,'Loan Entry'!$AB$39:$AB$42,"*Jan*",'Loan Entry'!$M$39:$M$42,'Loans to Cash Flows Wkst'!P$2)</f>
        <v>0</v>
      </c>
      <c r="Q19" s="693">
        <f>SUMIFS('Loan Entry'!$W$15:$W$18,'Loan Entry'!$D$15:$D$18,$C$18,'Loan Entry'!$AB$15:$AB$18,"*Jan*",'Loan Entry'!$M$15:$M$18,'Loans to Cash Flows Wkst'!Q$2)+SUMIFS('Loan Entry'!$W$23:$W$26,'Loan Entry'!$D$23:$D$26,$C$18,'Loan Entry'!$AB$23:$AB$26,"*Jan*",'Loan Entry'!$M$23:$M$26,'Loans to Cash Flows Wkst'!Q$2)+SUMIFS('Loan Entry'!$W$31:$W$34,'Loan Entry'!$D$31:$D$34,$C$18,'Loan Entry'!$AB$31:$AB$34,"*Jan*",'Loan Entry'!$M$31:$M$34,'Loans to Cash Flows Wkst'!Q$2)+SUMIFS('Loan Entry'!$W$47:$W$50,'Loan Entry'!$D$47:$D$50,$C$18,'Loan Entry'!$AB$47:$AB$50,"*Jan*",'Loan Entry'!$M$47:$M$50,'Loans to Cash Flows Wkst'!Q$2)+SUMIFS('Loan Entry'!$W$55:$W$58,'Loan Entry'!$D$55:$D$58,$C$18,'Loan Entry'!$AB$55:$AB$58,"*Jan*",'Loan Entry'!$M$55:$M$58,'Loans to Cash Flows Wkst'!Q$2)+SUMIFS('Loan Entry'!$W$39:$W$42,'Loan Entry'!$D$39:$D$42,$C$18,'Loan Entry'!$AB$39:$AB$42,"*Jan*",'Loan Entry'!$M$39:$M$42,'Loans to Cash Flows Wkst'!Q$2)</f>
        <v>0</v>
      </c>
    </row>
    <row r="20" spans="2:17" x14ac:dyDescent="0.2">
      <c r="B20" s="774" t="s">
        <v>183</v>
      </c>
      <c r="C20" s="775" t="s">
        <v>5</v>
      </c>
      <c r="D20" s="687">
        <f>SUM('Loans to Cash Flows Wkst'!$H20:$K20)</f>
        <v>0</v>
      </c>
      <c r="E20" s="687">
        <f>SUM('Loans to Cash Flows Wkst'!$N20:$Q20)</f>
        <v>0</v>
      </c>
      <c r="G20" s="785" t="s">
        <v>5</v>
      </c>
      <c r="H20" s="776">
        <f>SUMIFS('Loan Entry'!$V$15:$V$18,'Loan Entry'!$D$15:$D$18,$C$18,'Loan Entry'!$AB$15:$AB$18,$C20,'Loan Entry'!$M$15:$M$18,'Loans to Cash Flows Wkst'!H$2)+SUMIFS('Loan Entry'!$V$23:$V$26,'Loan Entry'!$D$23:$D$26,$C$18,'Loan Entry'!$AB$23:$AB$26,$C20,'Loan Entry'!$M$23:$M$26,'Loans to Cash Flows Wkst'!H$2)+SUMIFS('Loan Entry'!$V$31:$V$34,'Loan Entry'!$D$31:$D$34,$C$18,'Loan Entry'!$AB$31:$AB$34,$C20,'Loan Entry'!$M$31:$M$34,'Loans to Cash Flows Wkst'!H$2)+SUMIFS('Loan Entry'!$V$47:$V$50,'Loan Entry'!$D$47:$D$50,$C$18,'Loan Entry'!$AB$47:$AB$50,$C20,'Loan Entry'!$M$47:$M$50,'Loans to Cash Flows Wkst'!H$2) +SUMIFS('Loan Entry'!$V$55:$V$58,'Loan Entry'!$D$55:$D$58,$C$18,'Loan Entry'!$AB$55:$AB$58,$C20,'Loan Entry'!$M$55:$M$58,'Loans to Cash Flows Wkst'!H$2)+SUMIFS('Loan Entry'!$V$39:$V$42,'Loan Entry'!$D$39:$D$42,$C$18,'Loan Entry'!$AB$39:$AB$42,$C20,'Loan Entry'!$M$39:$M$42,'Loans to Cash Flows Wkst'!H$2)</f>
        <v>0</v>
      </c>
      <c r="I20" s="687">
        <f>SUMIFS('Loan Entry'!$V$15:$V$18,'Loan Entry'!$D$15:$D$18,$C$18,'Loan Entry'!$AB$15:$AB$18,"*Feb*",'Loan Entry'!$M$15:$M$18,'Loans to Cash Flows Wkst'!I$2)+SUMIFS('Loan Entry'!$V$23:$V$26,'Loan Entry'!$D$23:$D$26,$C$18,'Loan Entry'!$AB$23:$AB$26,"*Feb*",'Loan Entry'!$M$23:$M$26,'Loans to Cash Flows Wkst'!I$2)+SUMIFS('Loan Entry'!$V$31:$V$34,'Loan Entry'!$D$31:$D$34,$C$18,'Loan Entry'!$AB$31:$AB$34,"*Feb*",'Loan Entry'!$M$31:$M$34,'Loans to Cash Flows Wkst'!I$2)+SUMIFS('Loan Entry'!$V$47:$V$50,'Loan Entry'!$D$47:$D$50,$C$18,'Loan Entry'!$AB$47:$AB$50,"*Feb*",'Loan Entry'!$M$47:$M$50,'Loans to Cash Flows Wkst'!I$2)+SUMIFS('Loan Entry'!$V$55:$V$58,'Loan Entry'!$D$55:$D$58,$C$18,'Loan Entry'!$AB$55:$AB$58,"*Feb*",'Loan Entry'!$M$55:$M$58,'Loans to Cash Flows Wkst'!I$2)+SUMIFS('Loan Entry'!$V$39:$V$42,'Loan Entry'!$D$39:$D$42,$C$18,'Loan Entry'!$AB$39:$AB$42,"*Feb*",'Loan Entry'!$M$39:$M$42,'Loans to Cash Flows Wkst'!I$2)</f>
        <v>0</v>
      </c>
      <c r="J20" s="687">
        <f>SUMIFS('Loan Entry'!$V$15:$V$18,'Loan Entry'!$D$15:$D$18,$C$18,'Loan Entry'!$AB$15:$AB$18,"*Feb*",'Loan Entry'!$M$15:$M$18,'Loans to Cash Flows Wkst'!J$2)+SUMIFS('Loan Entry'!$V$23:$V$26,'Loan Entry'!$D$23:$D$26,$C$18,'Loan Entry'!$AB$23:$AB$26,"*Feb*",'Loan Entry'!$M$23:$M$26,'Loans to Cash Flows Wkst'!J$2)+SUMIFS('Loan Entry'!$V$31:$V$34,'Loan Entry'!$D$31:$D$34,$C$18,'Loan Entry'!$AB$31:$AB$34,"*Feb*",'Loan Entry'!$M$31:$M$34,'Loans to Cash Flows Wkst'!J$2)+SUMIFS('Loan Entry'!$V$47:$V$50,'Loan Entry'!$D$47:$D$50,$C$18,'Loan Entry'!$AB$47:$AB$50,"*Feb*",'Loan Entry'!$M$47:$M$50,'Loans to Cash Flows Wkst'!J$2) +SUMIFS('Loan Entry'!$V$55:$V$58,'Loan Entry'!$D$55:$D$58,$C$18,'Loan Entry'!$AB$55:$AB$58,"*Feb*",'Loan Entry'!$M$55:$M$58,'Loans to Cash Flows Wkst'!J$2)+SUMIFS('Loan Entry'!$V$39:$V$42,'Loan Entry'!$D$39:$D$42,$C$18,'Loan Entry'!$AB$39:$AB$42,"*Feb*",'Loan Entry'!$M$39:$M$42,'Loans to Cash Flows Wkst'!J$2)</f>
        <v>0</v>
      </c>
      <c r="K20" s="687">
        <f>SUMIFS('Loan Entry'!$V$15:$V$18,'Loan Entry'!$D$15:$D$18,$C$18,'Loan Entry'!$AB$15:$AB$18,"*Feb*",'Loan Entry'!$M$15:$M$18,'Loans to Cash Flows Wkst'!K$2)+SUMIFS('Loan Entry'!$V$23:$V$26,'Loan Entry'!$D$23:$D$26,$C$18,'Loan Entry'!$AB$23:$AB$26,"*Feb*",'Loan Entry'!$M$23:$M$26,'Loans to Cash Flows Wkst'!K$2)+SUMIFS('Loan Entry'!$V$31:$V$34,'Loan Entry'!$D$31:$D$34,$C$18,'Loan Entry'!$AB$31:$AB$34,"*Feb*",'Loan Entry'!$M$31:$M$34,'Loans to Cash Flows Wkst'!K$2)+SUMIFS('Loan Entry'!$V$47:$V$50,'Loan Entry'!$D$47:$D$50,$C$18,'Loan Entry'!$AB$47:$AB$50,"*Feb*",'Loan Entry'!$M$47:$M$50,'Loans to Cash Flows Wkst'!K$2) +SUMIFS('Loan Entry'!$V$55:$V$58,'Loan Entry'!$D$55:$D$58,$C$18,'Loan Entry'!$AB$55:$AB$58,"*Feb*",'Loan Entry'!$M$55:$M$58,'Loans to Cash Flows Wkst'!K$2)+SUMIFS('Loan Entry'!$V$39:$V$42,'Loan Entry'!$D$39:$D$42,$C$18,'Loan Entry'!$AB$39:$AB$42,"*Feb*",'Loan Entry'!$M$39:$M$42,'Loans to Cash Flows Wkst'!K$2)</f>
        <v>0</v>
      </c>
      <c r="M20" s="785" t="s">
        <v>5</v>
      </c>
      <c r="N20" s="687">
        <f>SUMIFS('Loan Entry'!$W$15:$W$18,'Loan Entry'!$D$15:$D$18,$C$18,'Loan Entry'!$AB$15:$AB$18,$C20,'Loan Entry'!$M$15:$M$18,'Loans to Cash Flows Wkst'!N$2)+SUMIFS('Loan Entry'!$W$23:$W$26,'Loan Entry'!$D$23:$D$26,$C$18,'Loan Entry'!$AB$23:$AB$26,$C20,'Loan Entry'!$M$23:$M$26,'Loans to Cash Flows Wkst'!N$2)+SUMIFS('Loan Entry'!$W$31:$W$34,'Loan Entry'!$D$31:$D$34,$C$18,'Loan Entry'!$AB$31:$AB$34,$C20,'Loan Entry'!$M$31:$M$34,'Loans to Cash Flows Wkst'!N$2)+SUMIFS('Loan Entry'!$W$47:$W$50,'Loan Entry'!$D$47:$D$50,$C$18,'Loan Entry'!$AB$47:$AB$50,$C20,'Loan Entry'!$M$47:$M$50,'Loans to Cash Flows Wkst'!N$2)+SUMIFS('Loan Entry'!$W$55:$W$58,'Loan Entry'!$D$55:$D$58,$C$18,'Loan Entry'!$AB$55:$AB$58,$C20,'Loan Entry'!$M$55:$M$58,'Loans to Cash Flows Wkst'!N$2)+SUMIFS('Loan Entry'!$W$39:$W$42,'Loan Entry'!$D$39:$D$42,$C$18,'Loan Entry'!$AB$39:$AB$42,$C20,'Loan Entry'!$M$39:$M$42,'Loans to Cash Flows Wkst'!N$2)</f>
        <v>0</v>
      </c>
      <c r="O20" s="687">
        <f>SUMIFS('Loan Entry'!$W$15:$W$18,'Loan Entry'!$D$15:$D$18,$C$18,'Loan Entry'!$AB$15:$AB$18,"*Feb*",'Loan Entry'!$M$15:$M$18,'Loans to Cash Flows Wkst'!O$2)+SUMIFS('Loan Entry'!$W$23:$W$26,'Loan Entry'!$D$23:$D$26,$C$18,'Loan Entry'!$AB$23:$AB$26,"*Feb*",'Loan Entry'!$M$23:$M$26,'Loans to Cash Flows Wkst'!O$2)+SUMIFS('Loan Entry'!$W$31:$W$34,'Loan Entry'!$D$31:$D$34,$C$18,'Loan Entry'!$AB$31:$AB$34,"*Feb*",'Loan Entry'!$M$31:$M$34,'Loans to Cash Flows Wkst'!O$2)+SUMIFS('Loan Entry'!$W$47:$W$50,'Loan Entry'!$D$47:$D$50,$C$18,'Loan Entry'!$AB$47:$AB$50,"*Feb*",'Loan Entry'!$M$47:$M$50,'Loans to Cash Flows Wkst'!O$2)+SUMIFS('Loan Entry'!$W$55:$W$58,'Loan Entry'!$D$55:$D$58,$C$18,'Loan Entry'!$AB$55:$AB$58,"*Feb*",'Loan Entry'!$M$55:$M$58,'Loans to Cash Flows Wkst'!O$2)+SUMIFS('Loan Entry'!$W$39:$W$42,'Loan Entry'!$D$39:$D$42,$C$18,'Loan Entry'!$AB$39:$AB$42,"*Feb*",'Loan Entry'!$M$39:$M$42,'Loans to Cash Flows Wkst'!O$2)</f>
        <v>0</v>
      </c>
      <c r="P20" s="687">
        <f>SUMIFS('Loan Entry'!$W$15:$W$18,'Loan Entry'!$D$15:$D$18,$C$18,'Loan Entry'!$AB$15:$AB$18,"*Feb*",'Loan Entry'!$M$15:$M$18,'Loans to Cash Flows Wkst'!P$2)+SUMIFS('Loan Entry'!$W$23:$W$26,'Loan Entry'!$D$23:$D$26,$C$18,'Loan Entry'!$AB$23:$AB$26,"*Feb*",'Loan Entry'!$M$23:$M$26,'Loans to Cash Flows Wkst'!P$2)+SUMIFS('Loan Entry'!$W$31:$W$34,'Loan Entry'!$D$31:$D$34,$C$18,'Loan Entry'!$AB$31:$AB$34,"*Feb*",'Loan Entry'!$M$31:$M$34,'Loans to Cash Flows Wkst'!P$2)+SUMIFS('Loan Entry'!$W$47:$W$50,'Loan Entry'!$D$47:$D$50,$C$18,'Loan Entry'!$AB$47:$AB$50,"*Feb*",'Loan Entry'!$M$47:$M$50,'Loans to Cash Flows Wkst'!P$2)+SUMIFS('Loan Entry'!$W$55:$W$58,'Loan Entry'!$D$55:$D$58,$C$18,'Loan Entry'!$AB$55:$AB$58,"*Feb*",'Loan Entry'!$M$55:$M$58,'Loans to Cash Flows Wkst'!P$2)+SUMIFS('Loan Entry'!$W$39:$W$42,'Loan Entry'!$D$39:$D$42,$C$18,'Loan Entry'!$AB$39:$AB$42,"*Feb*",'Loan Entry'!$M$39:$M$42,'Loans to Cash Flows Wkst'!P$2)</f>
        <v>0</v>
      </c>
      <c r="Q20" s="687">
        <f>SUMIFS('Loan Entry'!$W$15:$W$18,'Loan Entry'!$D$15:$D$18,$C$18,'Loan Entry'!$AB$15:$AB$18,"*Feb*",'Loan Entry'!$M$15:$M$18,'Loans to Cash Flows Wkst'!Q$2)+SUMIFS('Loan Entry'!$W$23:$W$26,'Loan Entry'!$D$23:$D$26,$C$18,'Loan Entry'!$AB$23:$AB$26,"*Feb*",'Loan Entry'!$M$23:$M$26,'Loans to Cash Flows Wkst'!Q$2)+SUMIFS('Loan Entry'!$W$31:$W$34,'Loan Entry'!$D$31:$D$34,$C$18,'Loan Entry'!$AB$31:$AB$34,"*Feb*",'Loan Entry'!$M$31:$M$34,'Loans to Cash Flows Wkst'!Q$2)+SUMIFS('Loan Entry'!$W$47:$W$50,'Loan Entry'!$D$47:$D$50,$C$18,'Loan Entry'!$AB$47:$AB$50,"*Feb*",'Loan Entry'!$M$47:$M$50,'Loans to Cash Flows Wkst'!Q$2)+SUMIFS('Loan Entry'!$W$55:$W$58,'Loan Entry'!$D$55:$D$58,$C$18,'Loan Entry'!$AB$55:$AB$58,"*Feb*",'Loan Entry'!$M$55:$M$58,'Loans to Cash Flows Wkst'!Q$2)+SUMIFS('Loan Entry'!$W$39:$W$42,'Loan Entry'!$D$39:$D$42,$C$18,'Loan Entry'!$AB$39:$AB$42,"*Feb*",'Loan Entry'!$M$39:$M$42,'Loans to Cash Flows Wkst'!Q$2)</f>
        <v>0</v>
      </c>
    </row>
    <row r="21" spans="2:17" x14ac:dyDescent="0.2">
      <c r="B21" s="777" t="s">
        <v>184</v>
      </c>
      <c r="C21" s="778" t="s">
        <v>6</v>
      </c>
      <c r="D21" s="686">
        <f>SUM('Loans to Cash Flows Wkst'!$H21:$K21)</f>
        <v>0</v>
      </c>
      <c r="E21" s="686">
        <f>SUM('Loans to Cash Flows Wkst'!$N21:$Q21)</f>
        <v>0</v>
      </c>
      <c r="G21" s="777" t="s">
        <v>6</v>
      </c>
      <c r="H21" s="779">
        <f>SUMIFS('Loan Entry'!$V$15:$V$18,'Loan Entry'!$D$15:$D$18,$C$18,'Loan Entry'!$AB$15:$AB$18,$C21,'Loan Entry'!$M$15:$M$18,'Loans to Cash Flows Wkst'!H$2)+SUMIFS('Loan Entry'!$V$23:$V$26,'Loan Entry'!$D$23:$D$26,$C$18,'Loan Entry'!$AB$23:$AB$26,$C21,'Loan Entry'!$M$23:$M$26,'Loans to Cash Flows Wkst'!H$2)+SUMIFS('Loan Entry'!$V$31:$V$34,'Loan Entry'!$D$31:$D$34,$C$18,'Loan Entry'!$AB$31:$AB$34,$C21,'Loan Entry'!$M$31:$M$34,'Loans to Cash Flows Wkst'!H$2)+SUMIFS('Loan Entry'!$V$47:$V$50,'Loan Entry'!$D$47:$D$50,$C$18,'Loan Entry'!$AB$47:$AB$50,$C21,'Loan Entry'!$M$47:$M$50,'Loans to Cash Flows Wkst'!H$2) +SUMIFS('Loan Entry'!$V$55:$V$58,'Loan Entry'!$D$55:$D$58,$C$18,'Loan Entry'!$AB$55:$AB$58,$C21,'Loan Entry'!$M$55:$M$58,'Loans to Cash Flows Wkst'!H$2)+SUMIFS('Loan Entry'!$V$39:$V$42,'Loan Entry'!$D$39:$D$42,$C$18,'Loan Entry'!$AB$39:$AB$42,$C21,'Loan Entry'!$M$39:$M$42,'Loans to Cash Flows Wkst'!H$2)</f>
        <v>0</v>
      </c>
      <c r="I21" s="686">
        <f>SUMIFS('Loan Entry'!$V$15:$V$18,'Loan Entry'!$D$15:$D$18,$C$18,'Loan Entry'!$AB$15:$AB$18,"*Mar*",'Loan Entry'!$M$15:$M$18,'Loans to Cash Flows Wkst'!I$2)+SUMIFS('Loan Entry'!$V$23:$V$26,'Loan Entry'!$D$23:$D$26,$C$18,'Loan Entry'!$AB$23:$AB$26,"*Mar*",'Loan Entry'!$M$23:$M$26,'Loans to Cash Flows Wkst'!I$2)+SUMIFS('Loan Entry'!$V$31:$V$34,'Loan Entry'!$D$31:$D$34,$C$18,'Loan Entry'!$AB$31:$AB$34,"*Mar*",'Loan Entry'!$M$31:$M$34,'Loans to Cash Flows Wkst'!I$2)+SUMIFS('Loan Entry'!$V$47:$V$50,'Loan Entry'!$D$47:$D$50,$C$18,'Loan Entry'!$AB$47:$AB$50,"*Mar*",'Loan Entry'!$M$47:$M$50,'Loans to Cash Flows Wkst'!I$2)+SUMIFS('Loan Entry'!$V$55:$V$58,'Loan Entry'!$D$55:$D$58,$C$18,'Loan Entry'!$AB$55:$AB$58,"*Mar*",'Loan Entry'!$M$55:$M$58,'Loans to Cash Flows Wkst'!I$2)+SUMIFS('Loan Entry'!$V$39:$V$42,'Loan Entry'!$D$39:$D$42,$C$18,'Loan Entry'!$AB$39:$AB$42,"*Mar*",'Loan Entry'!$M$39:$M$42,'Loans to Cash Flows Wkst'!I$2)</f>
        <v>0</v>
      </c>
      <c r="J21" s="686">
        <f>SUMIFS('Loan Entry'!$V$15:$V$18,'Loan Entry'!$D$15:$D$18,$C$18,'Loan Entry'!$AB$15:$AB$18,"*Mar*",'Loan Entry'!$M$15:$M$18,'Loans to Cash Flows Wkst'!J$2)+SUMIFS('Loan Entry'!$V$23:$V$26,'Loan Entry'!$D$23:$D$26,$C$18,'Loan Entry'!$AB$23:$AB$26,"*Mar*",'Loan Entry'!$M$23:$M$26,'Loans to Cash Flows Wkst'!J$2)+SUMIFS('Loan Entry'!$V$31:$V$34,'Loan Entry'!$D$31:$D$34,$C$18,'Loan Entry'!$AB$31:$AB$34,"*Mar*",'Loan Entry'!$M$31:$M$34,'Loans to Cash Flows Wkst'!J$2)+SUMIFS('Loan Entry'!$V$47:$V$50,'Loan Entry'!$D$47:$D$50,$C$18,'Loan Entry'!$AB$47:$AB$50,"*Mar*",'Loan Entry'!$M$47:$M$50,'Loans to Cash Flows Wkst'!J$2) +SUMIFS('Loan Entry'!$V$55:$V$58,'Loan Entry'!$D$55:$D$58,$C$18,'Loan Entry'!$AB$55:$AB$58,"*Mar*",'Loan Entry'!$M$55:$M$58,'Loans to Cash Flows Wkst'!J$2)+SUMIFS('Loan Entry'!$V$39:$V$42,'Loan Entry'!$D$39:$D$42,$C$18,'Loan Entry'!$AB$39:$AB$42,"*Mar*",'Loan Entry'!$M$39:$M$42,'Loans to Cash Flows Wkst'!J$2)</f>
        <v>0</v>
      </c>
      <c r="K21" s="686">
        <f>SUMIFS('Loan Entry'!$V$15:$V$18,'Loan Entry'!$D$15:$D$18,$C$18,'Loan Entry'!$AB$15:$AB$18,"*Mar*",'Loan Entry'!$M$15:$M$18,'Loans to Cash Flows Wkst'!K$2)+SUMIFS('Loan Entry'!$V$23:$V$26,'Loan Entry'!$D$23:$D$26,$C$18,'Loan Entry'!$AB$23:$AB$26,"*Mar*",'Loan Entry'!$M$23:$M$26,'Loans to Cash Flows Wkst'!K$2)+SUMIFS('Loan Entry'!$V$31:$V$34,'Loan Entry'!$D$31:$D$34,$C$18,'Loan Entry'!$AB$31:$AB$34,"*Mar*",'Loan Entry'!$M$31:$M$34,'Loans to Cash Flows Wkst'!K$2)+SUMIFS('Loan Entry'!$V$47:$V$50,'Loan Entry'!$D$47:$D$50,$C$18,'Loan Entry'!$AB$47:$AB$50,"*Mar*",'Loan Entry'!$M$47:$M$50,'Loans to Cash Flows Wkst'!K$2) +SUMIFS('Loan Entry'!$V$55:$V$58,'Loan Entry'!$D$55:$D$58,$C$18,'Loan Entry'!$AB$55:$AB$58,"*Mar*",'Loan Entry'!$M$55:$M$58,'Loans to Cash Flows Wkst'!K$2)+SUMIFS('Loan Entry'!$V$39:$V$42,'Loan Entry'!$D$39:$D$42,$C$18,'Loan Entry'!$AB$39:$AB$42,"*Mar*",'Loan Entry'!$M$39:$M$42,'Loans to Cash Flows Wkst'!K$2)</f>
        <v>0</v>
      </c>
      <c r="M21" s="777" t="s">
        <v>6</v>
      </c>
      <c r="N21" s="686">
        <f>SUMIFS('Loan Entry'!$W$15:$W$18,'Loan Entry'!$D$15:$D$18,$C$18,'Loan Entry'!$AB$15:$AB$18,$C21,'Loan Entry'!$M$15:$M$18,'Loans to Cash Flows Wkst'!N$2)+SUMIFS('Loan Entry'!$W$23:$W$26,'Loan Entry'!$D$23:$D$26,$C$18,'Loan Entry'!$AB$23:$AB$26,$C21,'Loan Entry'!$M$23:$M$26,'Loans to Cash Flows Wkst'!N$2)+SUMIFS('Loan Entry'!$W$31:$W$34,'Loan Entry'!$D$31:$D$34,$C$18,'Loan Entry'!$AB$31:$AB$34,$C21,'Loan Entry'!$M$31:$M$34,'Loans to Cash Flows Wkst'!N$2)+SUMIFS('Loan Entry'!$W$47:$W$50,'Loan Entry'!$D$47:$D$50,$C$18,'Loan Entry'!$AB$47:$AB$50,$C21,'Loan Entry'!$M$47:$M$50,'Loans to Cash Flows Wkst'!N$2)+SUMIFS('Loan Entry'!$W$55:$W$58,'Loan Entry'!$D$55:$D$58,$C$18,'Loan Entry'!$AB$55:$AB$58,$C21,'Loan Entry'!$M$55:$M$58,'Loans to Cash Flows Wkst'!N$2)+SUMIFS('Loan Entry'!$W$39:$W$42,'Loan Entry'!$D$39:$D$42,$C$18,'Loan Entry'!$AB$39:$AB$42,$C21,'Loan Entry'!$M$39:$M$42,'Loans to Cash Flows Wkst'!N$2)</f>
        <v>0</v>
      </c>
      <c r="O21" s="686">
        <f>SUMIFS('Loan Entry'!$W$15:$W$18,'Loan Entry'!$D$15:$D$18,$C$18,'Loan Entry'!$AB$15:$AB$18,"*Mar*",'Loan Entry'!$M$15:$M$18,'Loans to Cash Flows Wkst'!O$2)+SUMIFS('Loan Entry'!$W$23:$W$26,'Loan Entry'!$D$23:$D$26,$C$18,'Loan Entry'!$AB$23:$AB$26,"*Mar*",'Loan Entry'!$M$23:$M$26,'Loans to Cash Flows Wkst'!O$2)+SUMIFS('Loan Entry'!$W$31:$W$34,'Loan Entry'!$D$31:$D$34,$C$18,'Loan Entry'!$AB$31:$AB$34,"*Mar*",'Loan Entry'!$M$31:$M$34,'Loans to Cash Flows Wkst'!O$2)+SUMIFS('Loan Entry'!$W$47:$W$50,'Loan Entry'!$D$47:$D$50,$C$18,'Loan Entry'!$AB$47:$AB$50,"*Mar*",'Loan Entry'!$M$47:$M$50,'Loans to Cash Flows Wkst'!O$2)+SUMIFS('Loan Entry'!$W$55:$W$58,'Loan Entry'!$D$55:$D$58,$C$18,'Loan Entry'!$AB$55:$AB$58,"*Mar*",'Loan Entry'!$M$55:$M$58,'Loans to Cash Flows Wkst'!O$2)+SUMIFS('Loan Entry'!$W$39:$W$42,'Loan Entry'!$D$39:$D$42,$C$18,'Loan Entry'!$AB$39:$AB$42,"*Mar*",'Loan Entry'!$M$39:$M$42,'Loans to Cash Flows Wkst'!O$2)</f>
        <v>0</v>
      </c>
      <c r="P21" s="686">
        <f>SUMIFS('Loan Entry'!$W$15:$W$18,'Loan Entry'!$D$15:$D$18,$C$18,'Loan Entry'!$AB$15:$AB$18,"*Mar*",'Loan Entry'!$M$15:$M$18,'Loans to Cash Flows Wkst'!P$2)+SUMIFS('Loan Entry'!$W$23:$W$26,'Loan Entry'!$D$23:$D$26,$C$18,'Loan Entry'!$AB$23:$AB$26,"*Mar*",'Loan Entry'!$M$23:$M$26,'Loans to Cash Flows Wkst'!P$2)+SUMIFS('Loan Entry'!$W$31:$W$34,'Loan Entry'!$D$31:$D$34,$C$18,'Loan Entry'!$AB$31:$AB$34,"*Mar*",'Loan Entry'!$M$31:$M$34,'Loans to Cash Flows Wkst'!P$2)+SUMIFS('Loan Entry'!$W$47:$W$50,'Loan Entry'!$D$47:$D$50,$C$18,'Loan Entry'!$AB$47:$AB$50,"*Mar*",'Loan Entry'!$M$47:$M$50,'Loans to Cash Flows Wkst'!P$2)+SUMIFS('Loan Entry'!$W$55:$W$58,'Loan Entry'!$D$55:$D$58,$C$18,'Loan Entry'!$AB$55:$AB$58,"*Mar*",'Loan Entry'!$M$55:$M$58,'Loans to Cash Flows Wkst'!P$2)+SUMIFS('Loan Entry'!$W$39:$W$42,'Loan Entry'!$D$39:$D$42,$C$18,'Loan Entry'!$AB$39:$AB$42,"*Mar*",'Loan Entry'!$M$39:$M$42,'Loans to Cash Flows Wkst'!P$2)</f>
        <v>0</v>
      </c>
      <c r="Q21" s="686">
        <f>SUMIFS('Loan Entry'!$W$15:$W$18,'Loan Entry'!$D$15:$D$18,$C$18,'Loan Entry'!$AB$15:$AB$18,"*Mar*",'Loan Entry'!$M$15:$M$18,'Loans to Cash Flows Wkst'!Q$2)+SUMIFS('Loan Entry'!$W$23:$W$26,'Loan Entry'!$D$23:$D$26,$C$18,'Loan Entry'!$AB$23:$AB$26,"*Mar*",'Loan Entry'!$M$23:$M$26,'Loans to Cash Flows Wkst'!Q$2)+SUMIFS('Loan Entry'!$W$31:$W$34,'Loan Entry'!$D$31:$D$34,$C$18,'Loan Entry'!$AB$31:$AB$34,"*Mar*",'Loan Entry'!$M$31:$M$34,'Loans to Cash Flows Wkst'!Q$2)+SUMIFS('Loan Entry'!$W$47:$W$50,'Loan Entry'!$D$47:$D$50,$C$18,'Loan Entry'!$AB$47:$AB$50,"*Mar*",'Loan Entry'!$M$47:$M$50,'Loans to Cash Flows Wkst'!Q$2)+SUMIFS('Loan Entry'!$W$55:$W$58,'Loan Entry'!$D$55:$D$58,$C$18,'Loan Entry'!$AB$55:$AB$58,"*Mar*",'Loan Entry'!$M$55:$M$58,'Loans to Cash Flows Wkst'!Q$2)+SUMIFS('Loan Entry'!$W$39:$W$42,'Loan Entry'!$D$39:$D$42,$C$18,'Loan Entry'!$AB$39:$AB$42,"*Mar*",'Loan Entry'!$M$39:$M$42,'Loans to Cash Flows Wkst'!Q$2)</f>
        <v>0</v>
      </c>
    </row>
    <row r="22" spans="2:17" x14ac:dyDescent="0.2">
      <c r="B22" s="774" t="s">
        <v>185</v>
      </c>
      <c r="C22" s="780" t="s">
        <v>7</v>
      </c>
      <c r="D22" s="687">
        <f>SUM('Loans to Cash Flows Wkst'!$H22:$K22)</f>
        <v>0</v>
      </c>
      <c r="E22" s="687">
        <f>SUM('Loans to Cash Flows Wkst'!$N22:$Q22)</f>
        <v>0</v>
      </c>
      <c r="G22" s="774" t="s">
        <v>7</v>
      </c>
      <c r="H22" s="776">
        <f>SUMIFS('Loan Entry'!$V$15:$V$18,'Loan Entry'!$D$15:$D$18,$C$18,'Loan Entry'!$AB$15:$AB$18,$C22,'Loan Entry'!$M$15:$M$18,'Loans to Cash Flows Wkst'!H$2)+SUMIFS('Loan Entry'!$V$23:$V$26,'Loan Entry'!$D$23:$D$26,$C$18,'Loan Entry'!$AB$23:$AB$26,$C22,'Loan Entry'!$M$23:$M$26,'Loans to Cash Flows Wkst'!H$2)+SUMIFS('Loan Entry'!$V$31:$V$34,'Loan Entry'!$D$31:$D$34,$C$18,'Loan Entry'!$AB$31:$AB$34,$C22,'Loan Entry'!$M$31:$M$34,'Loans to Cash Flows Wkst'!H$2)+SUMIFS('Loan Entry'!$V$47:$V$50,'Loan Entry'!$D$47:$D$50,$C$18,'Loan Entry'!$AB$47:$AB$50,$C22,'Loan Entry'!$M$47:$M$50,'Loans to Cash Flows Wkst'!H$2) +SUMIFS('Loan Entry'!$V$55:$V$58,'Loan Entry'!$D$55:$D$58,$C$18,'Loan Entry'!$AB$55:$AB$58,$C22,'Loan Entry'!$M$55:$M$58,'Loans to Cash Flows Wkst'!H$2)+SUMIFS('Loan Entry'!$V$39:$V$42,'Loan Entry'!$D$39:$D$42,$C$18,'Loan Entry'!$AB$39:$AB$42,$C22,'Loan Entry'!$M$39:$M$42,'Loans to Cash Flows Wkst'!H$2)</f>
        <v>0</v>
      </c>
      <c r="I22" s="687">
        <f>SUMIFS('Loan Entry'!$V$15:$V$18,'Loan Entry'!$D$15:$D$18,$C$18,'Loan Entry'!$AB$15:$AB$18,"*Apr*",'Loan Entry'!$M$15:$M$18,'Loans to Cash Flows Wkst'!I$2)+SUMIFS('Loan Entry'!$V$23:$V$26,'Loan Entry'!$D$23:$D$26,$C$18,'Loan Entry'!$AB$23:$AB$26,"*Apr*",'Loan Entry'!$M$23:$M$26,'Loans to Cash Flows Wkst'!I$2)+SUMIFS('Loan Entry'!$V$31:$V$34,'Loan Entry'!$D$31:$D$34,$C$18,'Loan Entry'!$AB$31:$AB$34,"*Apr*",'Loan Entry'!$M$31:$M$34,'Loans to Cash Flows Wkst'!I$2)+SUMIFS('Loan Entry'!$V$47:$V$50,'Loan Entry'!$D$47:$D$50,$C$18,'Loan Entry'!$AB$47:$AB$50,"*Apr*",'Loan Entry'!$M$47:$M$50,'Loans to Cash Flows Wkst'!I$2)+SUMIFS('Loan Entry'!$V$55:$V$58,'Loan Entry'!$D$55:$D$58,$C$18,'Loan Entry'!$AB$55:$AB$58,"*Apr*",'Loan Entry'!$M$55:$M$58,'Loans to Cash Flows Wkst'!I$2)+SUMIFS('Loan Entry'!$V$39:$V$42,'Loan Entry'!$D$39:$D$42,$C$18,'Loan Entry'!$AB$39:$AB$42,"*Apr*",'Loan Entry'!$M$39:$M$42,'Loans to Cash Flows Wkst'!I$2)</f>
        <v>0</v>
      </c>
      <c r="J22" s="687">
        <f>SUMIFS('Loan Entry'!$V$15:$V$18,'Loan Entry'!$D$15:$D$18,$C$18,'Loan Entry'!$AB$15:$AB$18,"*Apr*",'Loan Entry'!$M$15:$M$18,'Loans to Cash Flows Wkst'!J$2)+SUMIFS('Loan Entry'!$V$23:$V$26,'Loan Entry'!$D$23:$D$26,$C$18,'Loan Entry'!$AB$23:$AB$26,"*Apr*",'Loan Entry'!$M$23:$M$26,'Loans to Cash Flows Wkst'!J$2)+SUMIFS('Loan Entry'!$V$31:$V$34,'Loan Entry'!$D$31:$D$34,$C$18,'Loan Entry'!$AB$31:$AB$34,"*Apr*",'Loan Entry'!$M$31:$M$34,'Loans to Cash Flows Wkst'!J$2)+SUMIFS('Loan Entry'!$V$47:$V$50,'Loan Entry'!$D$47:$D$50,$C$18,'Loan Entry'!$AB$47:$AB$50,"*Apr*",'Loan Entry'!$M$47:$M$50,'Loans to Cash Flows Wkst'!J$2) +SUMIFS('Loan Entry'!$V$55:$V$58,'Loan Entry'!$D$55:$D$58,$C$18,'Loan Entry'!$AB$55:$AB$58,"*Apr*",'Loan Entry'!$M$55:$M$58,'Loans to Cash Flows Wkst'!J$2)+SUMIFS('Loan Entry'!$V$39:$V$42,'Loan Entry'!$D$39:$D$42,$C$18,'Loan Entry'!$AB$39:$AB$42,"*Apr*",'Loan Entry'!$M$39:$M$42,'Loans to Cash Flows Wkst'!J$2)</f>
        <v>0</v>
      </c>
      <c r="K22" s="687">
        <f>SUMIFS('Loan Entry'!$V$15:$V$18,'Loan Entry'!$D$15:$D$18,$C$18,'Loan Entry'!$AB$15:$AB$18,"*Apr*",'Loan Entry'!$M$15:$M$18,'Loans to Cash Flows Wkst'!K$2)+SUMIFS('Loan Entry'!$V$23:$V$26,'Loan Entry'!$D$23:$D$26,$C$18,'Loan Entry'!$AB$23:$AB$26,"*Apr*",'Loan Entry'!$M$23:$M$26,'Loans to Cash Flows Wkst'!K$2)+SUMIFS('Loan Entry'!$V$31:$V$34,'Loan Entry'!$D$31:$D$34,$C$18,'Loan Entry'!$AB$31:$AB$34,"*Apr*",'Loan Entry'!$M$31:$M$34,'Loans to Cash Flows Wkst'!K$2)+SUMIFS('Loan Entry'!$V$47:$V$50,'Loan Entry'!$D$47:$D$50,$C$18,'Loan Entry'!$AB$47:$AB$50,"*Apr*",'Loan Entry'!$M$47:$M$50,'Loans to Cash Flows Wkst'!K$2) +SUMIFS('Loan Entry'!$V$55:$V$58,'Loan Entry'!$D$55:$D$58,$C$18,'Loan Entry'!$AB$55:$AB$58,"*Apr*",'Loan Entry'!$M$55:$M$58,'Loans to Cash Flows Wkst'!K$2)+SUMIFS('Loan Entry'!$V$39:$V$42,'Loan Entry'!$D$39:$D$42,$C$18,'Loan Entry'!$AB$39:$AB$42,"*Apr*",'Loan Entry'!$M$39:$M$42,'Loans to Cash Flows Wkst'!K$2)</f>
        <v>0</v>
      </c>
      <c r="M22" s="774" t="s">
        <v>7</v>
      </c>
      <c r="N22" s="687">
        <f>SUMIFS('Loan Entry'!$W$15:$W$18,'Loan Entry'!$D$15:$D$18,$C$18,'Loan Entry'!$AB$15:$AB$18,$C22,'Loan Entry'!$M$15:$M$18,'Loans to Cash Flows Wkst'!N$2)+SUMIFS('Loan Entry'!$W$23:$W$26,'Loan Entry'!$D$23:$D$26,$C$18,'Loan Entry'!$AB$23:$AB$26,$C22,'Loan Entry'!$M$23:$M$26,'Loans to Cash Flows Wkst'!N$2)+SUMIFS('Loan Entry'!$W$31:$W$34,'Loan Entry'!$D$31:$D$34,$C$18,'Loan Entry'!$AB$31:$AB$34,$C22,'Loan Entry'!$M$31:$M$34,'Loans to Cash Flows Wkst'!N$2)+SUMIFS('Loan Entry'!$W$47:$W$50,'Loan Entry'!$D$47:$D$50,$C$18,'Loan Entry'!$AB$47:$AB$50,$C22,'Loan Entry'!$M$47:$M$50,'Loans to Cash Flows Wkst'!N$2)+SUMIFS('Loan Entry'!$W$55:$W$58,'Loan Entry'!$D$55:$D$58,$C$18,'Loan Entry'!$AB$55:$AB$58,$C22,'Loan Entry'!$M$55:$M$58,'Loans to Cash Flows Wkst'!N$2)+SUMIFS('Loan Entry'!$W$39:$W$42,'Loan Entry'!$D$39:$D$42,$C$18,'Loan Entry'!$AB$39:$AB$42,$C22,'Loan Entry'!$M$39:$M$42,'Loans to Cash Flows Wkst'!N$2)</f>
        <v>0</v>
      </c>
      <c r="O22" s="687">
        <f>SUMIFS('Loan Entry'!$W$15:$W$18,'Loan Entry'!$D$15:$D$18,$C$18,'Loan Entry'!$AB$15:$AB$18,"*Apr*",'Loan Entry'!$M$15:$M$18,'Loans to Cash Flows Wkst'!O$2)+SUMIFS('Loan Entry'!$W$23:$W$26,'Loan Entry'!$D$23:$D$26,$C$18,'Loan Entry'!$AB$23:$AB$26,"*Apr*",'Loan Entry'!$M$23:$M$26,'Loans to Cash Flows Wkst'!O$2)+SUMIFS('Loan Entry'!$W$31:$W$34,'Loan Entry'!$D$31:$D$34,$C$18,'Loan Entry'!$AB$31:$AB$34,"*Apr*",'Loan Entry'!$M$31:$M$34,'Loans to Cash Flows Wkst'!O$2)+SUMIFS('Loan Entry'!$W$47:$W$50,'Loan Entry'!$D$47:$D$50,$C$18,'Loan Entry'!$AB$47:$AB$50,"*Apr*",'Loan Entry'!$M$47:$M$50,'Loans to Cash Flows Wkst'!O$2)+SUMIFS('Loan Entry'!$W$55:$W$58,'Loan Entry'!$D$55:$D$58,$C$18,'Loan Entry'!$AB$55:$AB$58,"*Apr*",'Loan Entry'!$M$55:$M$58,'Loans to Cash Flows Wkst'!O$2)+SUMIFS('Loan Entry'!$W$39:$W$42,'Loan Entry'!$D$39:$D$42,$C$18,'Loan Entry'!$AB$39:$AB$42,"*Apr*",'Loan Entry'!$M$39:$M$42,'Loans to Cash Flows Wkst'!O$2)</f>
        <v>0</v>
      </c>
      <c r="P22" s="687">
        <f>SUMIFS('Loan Entry'!$W$15:$W$18,'Loan Entry'!$D$15:$D$18,$C$18,'Loan Entry'!$AB$15:$AB$18,"*Apr*",'Loan Entry'!$M$15:$M$18,'Loans to Cash Flows Wkst'!P$2)+SUMIFS('Loan Entry'!$W$23:$W$26,'Loan Entry'!$D$23:$D$26,$C$18,'Loan Entry'!$AB$23:$AB$26,"*Apr*",'Loan Entry'!$M$23:$M$26,'Loans to Cash Flows Wkst'!P$2)+SUMIFS('Loan Entry'!$W$31:$W$34,'Loan Entry'!$D$31:$D$34,$C$18,'Loan Entry'!$AB$31:$AB$34,"*Apr*",'Loan Entry'!$M$31:$M$34,'Loans to Cash Flows Wkst'!P$2)+SUMIFS('Loan Entry'!$W$47:$W$50,'Loan Entry'!$D$47:$D$50,$C$18,'Loan Entry'!$AB$47:$AB$50,"*Apr*",'Loan Entry'!$M$47:$M$50,'Loans to Cash Flows Wkst'!P$2)+SUMIFS('Loan Entry'!$W$55:$W$58,'Loan Entry'!$D$55:$D$58,$C$18,'Loan Entry'!$AB$55:$AB$58,"*Apr*",'Loan Entry'!$M$55:$M$58,'Loans to Cash Flows Wkst'!P$2)+SUMIFS('Loan Entry'!$W$39:$W$42,'Loan Entry'!$D$39:$D$42,$C$18,'Loan Entry'!$AB$39:$AB$42,"*Apr*",'Loan Entry'!$M$39:$M$42,'Loans to Cash Flows Wkst'!P$2)</f>
        <v>0</v>
      </c>
      <c r="Q22" s="687">
        <f>SUMIFS('Loan Entry'!$W$15:$W$18,'Loan Entry'!$D$15:$D$18,$C$18,'Loan Entry'!$AB$15:$AB$18,"*Apr*",'Loan Entry'!$M$15:$M$18,'Loans to Cash Flows Wkst'!Q$2)+SUMIFS('Loan Entry'!$W$23:$W$26,'Loan Entry'!$D$23:$D$26,$C$18,'Loan Entry'!$AB$23:$AB$26,"*Apr*",'Loan Entry'!$M$23:$M$26,'Loans to Cash Flows Wkst'!Q$2)+SUMIFS('Loan Entry'!$W$31:$W$34,'Loan Entry'!$D$31:$D$34,$C$18,'Loan Entry'!$AB$31:$AB$34,"*Apr*",'Loan Entry'!$M$31:$M$34,'Loans to Cash Flows Wkst'!Q$2)+SUMIFS('Loan Entry'!$W$47:$W$50,'Loan Entry'!$D$47:$D$50,$C$18,'Loan Entry'!$AB$47:$AB$50,"*Apr*",'Loan Entry'!$M$47:$M$50,'Loans to Cash Flows Wkst'!Q$2)+SUMIFS('Loan Entry'!$W$55:$W$58,'Loan Entry'!$D$55:$D$58,$C$18,'Loan Entry'!$AB$55:$AB$58,"*Apr*",'Loan Entry'!$M$55:$M$58,'Loans to Cash Flows Wkst'!Q$2)+SUMIFS('Loan Entry'!$W$39:$W$42,'Loan Entry'!$D$39:$D$42,$C$18,'Loan Entry'!$AB$39:$AB$42,"*Apr*",'Loan Entry'!$M$39:$M$42,'Loans to Cash Flows Wkst'!Q$2)</f>
        <v>0</v>
      </c>
    </row>
    <row r="23" spans="2:17" x14ac:dyDescent="0.2">
      <c r="B23" s="777" t="s">
        <v>3</v>
      </c>
      <c r="C23" s="778" t="s">
        <v>3</v>
      </c>
      <c r="D23" s="686">
        <f>SUM('Loans to Cash Flows Wkst'!$H23:$K23)</f>
        <v>0</v>
      </c>
      <c r="E23" s="686">
        <f>SUM('Loans to Cash Flows Wkst'!$N23:$Q23)</f>
        <v>0</v>
      </c>
      <c r="G23" s="777" t="s">
        <v>3</v>
      </c>
      <c r="H23" s="779">
        <f>SUMIFS('Loan Entry'!$V$15:$V$18,'Loan Entry'!$D$15:$D$18,$C$18,'Loan Entry'!$AB$15:$AB$18,$C23,'Loan Entry'!$M$15:$M$18,'Loans to Cash Flows Wkst'!H$2)+SUMIFS('Loan Entry'!$V$23:$V$26,'Loan Entry'!$D$23:$D$26,$C$18,'Loan Entry'!$AB$23:$AB$26,$C23,'Loan Entry'!$M$23:$M$26,'Loans to Cash Flows Wkst'!H$2)+SUMIFS('Loan Entry'!$V$31:$V$34,'Loan Entry'!$D$31:$D$34,$C$18,'Loan Entry'!$AB$31:$AB$34,$C23,'Loan Entry'!$M$31:$M$34,'Loans to Cash Flows Wkst'!H$2)+SUMIFS('Loan Entry'!$V$47:$V$50,'Loan Entry'!$D$47:$D$50,$C$18,'Loan Entry'!$AB$47:$AB$50,$C23,'Loan Entry'!$M$47:$M$50,'Loans to Cash Flows Wkst'!H$2) +SUMIFS('Loan Entry'!$V$55:$V$58,'Loan Entry'!$D$55:$D$58,$C$18,'Loan Entry'!$AB$55:$AB$58,$C23,'Loan Entry'!$M$55:$M$58,'Loans to Cash Flows Wkst'!H$2)+SUMIFS('Loan Entry'!$V$39:$V$42,'Loan Entry'!$D$39:$D$42,$C$18,'Loan Entry'!$AB$39:$AB$42,$C23,'Loan Entry'!$M$39:$M$42,'Loans to Cash Flows Wkst'!H$2)</f>
        <v>0</v>
      </c>
      <c r="I23" s="686">
        <f>SUMIFS('Loan Entry'!$V$15:$V$18,'Loan Entry'!$D$15:$D$18,$C$18,'Loan Entry'!$AB$15:$AB$18,"*May*",'Loan Entry'!$M$15:$M$18,'Loans to Cash Flows Wkst'!I$2)+SUMIFS('Loan Entry'!$V$23:$V$26,'Loan Entry'!$D$23:$D$26,$C$18,'Loan Entry'!$AB$23:$AB$26,"*May*",'Loan Entry'!$M$23:$M$26,'Loans to Cash Flows Wkst'!I$2)+SUMIFS('Loan Entry'!$V$31:$V$34,'Loan Entry'!$D$31:$D$34,$C$18,'Loan Entry'!$AB$31:$AB$34,"*May*",'Loan Entry'!$M$31:$M$34,'Loans to Cash Flows Wkst'!I$2)+SUMIFS('Loan Entry'!$V$47:$V$50,'Loan Entry'!$D$47:$D$50,$C$18,'Loan Entry'!$AB$47:$AB$50,"*May*",'Loan Entry'!$M$47:$M$50,'Loans to Cash Flows Wkst'!I$2)+SUMIFS('Loan Entry'!$V$55:$V$58,'Loan Entry'!$D$55:$D$58,$C$18,'Loan Entry'!$AB$55:$AB$58,"*May*",'Loan Entry'!$M$55:$M$58,'Loans to Cash Flows Wkst'!I$2)+SUMIFS('Loan Entry'!$V$39:$V$42,'Loan Entry'!$D$39:$D$42,$C$18,'Loan Entry'!$AB$39:$AB$42,"*May*",'Loan Entry'!$M$39:$M$42,'Loans to Cash Flows Wkst'!I$2)</f>
        <v>0</v>
      </c>
      <c r="J23" s="686">
        <f>SUMIFS('Loan Entry'!$V$15:$V$18,'Loan Entry'!$D$15:$D$18,$C$18,'Loan Entry'!$AB$15:$AB$18,"*May*",'Loan Entry'!$M$15:$M$18,'Loans to Cash Flows Wkst'!J$2)+SUMIFS('Loan Entry'!$V$23:$V$26,'Loan Entry'!$D$23:$D$26,$C$18,'Loan Entry'!$AB$23:$AB$26,"*May*",'Loan Entry'!$M$23:$M$26,'Loans to Cash Flows Wkst'!J$2)+SUMIFS('Loan Entry'!$V$31:$V$34,'Loan Entry'!$D$31:$D$34,$C$18,'Loan Entry'!$AB$31:$AB$34,"*May*",'Loan Entry'!$M$31:$M$34,'Loans to Cash Flows Wkst'!J$2)+SUMIFS('Loan Entry'!$V$47:$V$50,'Loan Entry'!$D$47:$D$50,$C$18,'Loan Entry'!$AB$47:$AB$50,"*May*",'Loan Entry'!$M$47:$M$50,'Loans to Cash Flows Wkst'!J$2) +SUMIFS('Loan Entry'!$V$55:$V$58,'Loan Entry'!$D$55:$D$58,$C$18,'Loan Entry'!$AB$55:$AB$58,"*May*",'Loan Entry'!$M$55:$M$58,'Loans to Cash Flows Wkst'!J$2)+SUMIFS('Loan Entry'!$V$39:$V$42,'Loan Entry'!$D$39:$D$42,$C$18,'Loan Entry'!$AB$39:$AB$42,"*May*",'Loan Entry'!$M$39:$M$42,'Loans to Cash Flows Wkst'!J$2)</f>
        <v>0</v>
      </c>
      <c r="K23" s="686">
        <f>SUMIFS('Loan Entry'!$V$15:$V$18,'Loan Entry'!$D$15:$D$18,$C$18,'Loan Entry'!$AB$15:$AB$18,"*May*",'Loan Entry'!$M$15:$M$18,'Loans to Cash Flows Wkst'!K$2)+SUMIFS('Loan Entry'!$V$23:$V$26,'Loan Entry'!$D$23:$D$26,$C$18,'Loan Entry'!$AB$23:$AB$26,"*May*",'Loan Entry'!$M$23:$M$26,'Loans to Cash Flows Wkst'!K$2)+SUMIFS('Loan Entry'!$V$31:$V$34,'Loan Entry'!$D$31:$D$34,$C$18,'Loan Entry'!$AB$31:$AB$34,"*May*",'Loan Entry'!$M$31:$M$34,'Loans to Cash Flows Wkst'!K$2)+SUMIFS('Loan Entry'!$V$47:$V$50,'Loan Entry'!$D$47:$D$50,$C$18,'Loan Entry'!$AB$47:$AB$50,"*May*",'Loan Entry'!$M$47:$M$50,'Loans to Cash Flows Wkst'!K$2) +SUMIFS('Loan Entry'!$V$55:$V$58,'Loan Entry'!$D$55:$D$58,$C$18,'Loan Entry'!$AB$55:$AB$58,"*May*",'Loan Entry'!$M$55:$M$58,'Loans to Cash Flows Wkst'!K$2)+SUMIFS('Loan Entry'!$V$39:$V$42,'Loan Entry'!$D$39:$D$42,$C$18,'Loan Entry'!$AB$39:$AB$42,"*May*",'Loan Entry'!$M$39:$M$42,'Loans to Cash Flows Wkst'!K$2)</f>
        <v>0</v>
      </c>
      <c r="M23" s="777" t="s">
        <v>3</v>
      </c>
      <c r="N23" s="686">
        <f>SUMIFS('Loan Entry'!$W$15:$W$18,'Loan Entry'!$D$15:$D$18,$C$18,'Loan Entry'!$AB$15:$AB$18,$C23,'Loan Entry'!$M$15:$M$18,'Loans to Cash Flows Wkst'!N$2)+SUMIFS('Loan Entry'!$W$23:$W$26,'Loan Entry'!$D$23:$D$26,$C$18,'Loan Entry'!$AB$23:$AB$26,$C23,'Loan Entry'!$M$23:$M$26,'Loans to Cash Flows Wkst'!N$2)+SUMIFS('Loan Entry'!$W$31:$W$34,'Loan Entry'!$D$31:$D$34,$C$18,'Loan Entry'!$AB$31:$AB$34,$C23,'Loan Entry'!$M$31:$M$34,'Loans to Cash Flows Wkst'!N$2)+SUMIFS('Loan Entry'!$W$47:$W$50,'Loan Entry'!$D$47:$D$50,$C$18,'Loan Entry'!$AB$47:$AB$50,$C23,'Loan Entry'!$M$47:$M$50,'Loans to Cash Flows Wkst'!N$2)+SUMIFS('Loan Entry'!$W$55:$W$58,'Loan Entry'!$D$55:$D$58,$C$18,'Loan Entry'!$AB$55:$AB$58,$C23,'Loan Entry'!$M$55:$M$58,'Loans to Cash Flows Wkst'!N$2)+SUMIFS('Loan Entry'!$W$39:$W$42,'Loan Entry'!$D$39:$D$42,$C$18,'Loan Entry'!$AB$39:$AB$42,$C23,'Loan Entry'!$M$39:$M$42,'Loans to Cash Flows Wkst'!N$2)</f>
        <v>0</v>
      </c>
      <c r="O23" s="686">
        <f>SUMIFS('Loan Entry'!$W$15:$W$18,'Loan Entry'!$D$15:$D$18,$C$18,'Loan Entry'!$AB$15:$AB$18,"*May*",'Loan Entry'!$M$15:$M$18,'Loans to Cash Flows Wkst'!O$2)+SUMIFS('Loan Entry'!$W$23:$W$26,'Loan Entry'!$D$23:$D$26,$C$18,'Loan Entry'!$AB$23:$AB$26,"*May*",'Loan Entry'!$M$23:$M$26,'Loans to Cash Flows Wkst'!O$2)+SUMIFS('Loan Entry'!$W$31:$W$34,'Loan Entry'!$D$31:$D$34,$C$18,'Loan Entry'!$AB$31:$AB$34,"*May*",'Loan Entry'!$M$31:$M$34,'Loans to Cash Flows Wkst'!O$2)+SUMIFS('Loan Entry'!$W$47:$W$50,'Loan Entry'!$D$47:$D$50,$C$18,'Loan Entry'!$AB$47:$AB$50,"*May*",'Loan Entry'!$M$47:$M$50,'Loans to Cash Flows Wkst'!O$2)+SUMIFS('Loan Entry'!$W$55:$W$58,'Loan Entry'!$D$55:$D$58,$C$18,'Loan Entry'!$AB$55:$AB$58,"*May*",'Loan Entry'!$M$55:$M$58,'Loans to Cash Flows Wkst'!O$2)+SUMIFS('Loan Entry'!$W$39:$W$42,'Loan Entry'!$D$39:$D$42,$C$18,'Loan Entry'!$AB$39:$AB$42,"*May*",'Loan Entry'!$M$39:$M$42,'Loans to Cash Flows Wkst'!O$2)</f>
        <v>0</v>
      </c>
      <c r="P23" s="686">
        <f>SUMIFS('Loan Entry'!$W$15:$W$18,'Loan Entry'!$D$15:$D$18,$C$18,'Loan Entry'!$AB$15:$AB$18,"*May*",'Loan Entry'!$M$15:$M$18,'Loans to Cash Flows Wkst'!P$2)+SUMIFS('Loan Entry'!$W$23:$W$26,'Loan Entry'!$D$23:$D$26,$C$18,'Loan Entry'!$AB$23:$AB$26,"*May*",'Loan Entry'!$M$23:$M$26,'Loans to Cash Flows Wkst'!P$2)+SUMIFS('Loan Entry'!$W$31:$W$34,'Loan Entry'!$D$31:$D$34,$C$18,'Loan Entry'!$AB$31:$AB$34,"*May*",'Loan Entry'!$M$31:$M$34,'Loans to Cash Flows Wkst'!P$2)+SUMIFS('Loan Entry'!$W$47:$W$50,'Loan Entry'!$D$47:$D$50,$C$18,'Loan Entry'!$AB$47:$AB$50,"*May*",'Loan Entry'!$M$47:$M$50,'Loans to Cash Flows Wkst'!P$2)+SUMIFS('Loan Entry'!$W$55:$W$58,'Loan Entry'!$D$55:$D$58,$C$18,'Loan Entry'!$AB$55:$AB$58,"*May*",'Loan Entry'!$M$55:$M$58,'Loans to Cash Flows Wkst'!P$2)+SUMIFS('Loan Entry'!$W$39:$W$42,'Loan Entry'!$D$39:$D$42,$C$18,'Loan Entry'!$AB$39:$AB$42,"*May*",'Loan Entry'!$M$39:$M$42,'Loans to Cash Flows Wkst'!P$2)</f>
        <v>0</v>
      </c>
      <c r="Q23" s="686">
        <f>SUMIFS('Loan Entry'!$W$15:$W$18,'Loan Entry'!$D$15:$D$18,$C$18,'Loan Entry'!$AB$15:$AB$18,"*May*",'Loan Entry'!$M$15:$M$18,'Loans to Cash Flows Wkst'!Q$2)+SUMIFS('Loan Entry'!$W$23:$W$26,'Loan Entry'!$D$23:$D$26,$C$18,'Loan Entry'!$AB$23:$AB$26,"*May*",'Loan Entry'!$M$23:$M$26,'Loans to Cash Flows Wkst'!Q$2)+SUMIFS('Loan Entry'!$W$31:$W$34,'Loan Entry'!$D$31:$D$34,$C$18,'Loan Entry'!$AB$31:$AB$34,"*May*",'Loan Entry'!$M$31:$M$34,'Loans to Cash Flows Wkst'!Q$2)+SUMIFS('Loan Entry'!$W$47:$W$50,'Loan Entry'!$D$47:$D$50,$C$18,'Loan Entry'!$AB$47:$AB$50,"*May*",'Loan Entry'!$M$47:$M$50,'Loans to Cash Flows Wkst'!Q$2)+SUMIFS('Loan Entry'!$W$55:$W$58,'Loan Entry'!$D$55:$D$58,$C$18,'Loan Entry'!$AB$55:$AB$58,"*May*",'Loan Entry'!$M$55:$M$58,'Loans to Cash Flows Wkst'!Q$2)+SUMIFS('Loan Entry'!$W$39:$W$42,'Loan Entry'!$D$39:$D$42,$C$18,'Loan Entry'!$AB$39:$AB$42,"*May*",'Loan Entry'!$M$39:$M$42,'Loans to Cash Flows Wkst'!Q$2)</f>
        <v>0</v>
      </c>
    </row>
    <row r="24" spans="2:17" x14ac:dyDescent="0.2">
      <c r="B24" s="774" t="s">
        <v>186</v>
      </c>
      <c r="C24" s="780" t="s">
        <v>8</v>
      </c>
      <c r="D24" s="687">
        <f>SUM('Loans to Cash Flows Wkst'!$H24:$K24)</f>
        <v>0</v>
      </c>
      <c r="E24" s="687">
        <f>SUM('Loans to Cash Flows Wkst'!$N24:$Q24)</f>
        <v>0</v>
      </c>
      <c r="G24" s="774" t="s">
        <v>8</v>
      </c>
      <c r="H24" s="776">
        <f>SUMIFS('Loan Entry'!$V$15:$V$18,'Loan Entry'!$D$15:$D$18,$C$18,'Loan Entry'!$AB$15:$AB$18,$C24,'Loan Entry'!$M$15:$M$18,'Loans to Cash Flows Wkst'!H$2)+SUMIFS('Loan Entry'!$V$23:$V$26,'Loan Entry'!$D$23:$D$26,$C$18,'Loan Entry'!$AB$23:$AB$26,$C24,'Loan Entry'!$M$23:$M$26,'Loans to Cash Flows Wkst'!H$2)+SUMIFS('Loan Entry'!$V$31:$V$34,'Loan Entry'!$D$31:$D$34,$C$18,'Loan Entry'!$AB$31:$AB$34,$C24,'Loan Entry'!$M$31:$M$34,'Loans to Cash Flows Wkst'!H$2)+SUMIFS('Loan Entry'!$V$47:$V$50,'Loan Entry'!$D$47:$D$50,$C$18,'Loan Entry'!$AB$47:$AB$50,$C24,'Loan Entry'!$M$47:$M$50,'Loans to Cash Flows Wkst'!H$2) +SUMIFS('Loan Entry'!$V$55:$V$58,'Loan Entry'!$D$55:$D$58,$C$18,'Loan Entry'!$AB$55:$AB$58,$C24,'Loan Entry'!$M$55:$M$58,'Loans to Cash Flows Wkst'!H$2)+SUMIFS('Loan Entry'!$V$39:$V$42,'Loan Entry'!$D$39:$D$42,$C$18,'Loan Entry'!$AB$39:$AB$42,$C24,'Loan Entry'!$M$39:$M$42,'Loans to Cash Flows Wkst'!H$2)</f>
        <v>0</v>
      </c>
      <c r="I24" s="687">
        <f>SUMIFS('Loan Entry'!$V$15:$V$18,'Loan Entry'!$D$15:$D$18,$C$18,'Loan Entry'!$AB$15:$AB$18,"*Jun*",'Loan Entry'!$M$15:$M$18,'Loans to Cash Flows Wkst'!I$2)+SUMIFS('Loan Entry'!$V$23:$V$26,'Loan Entry'!$D$23:$D$26,$C$18,'Loan Entry'!$AB$23:$AB$26,"*Jun*",'Loan Entry'!$M$23:$M$26,'Loans to Cash Flows Wkst'!I$2)+SUMIFS('Loan Entry'!$V$31:$V$34,'Loan Entry'!$D$31:$D$34,$C$18,'Loan Entry'!$AB$31:$AB$34,"*Jun*",'Loan Entry'!$M$31:$M$34,'Loans to Cash Flows Wkst'!I$2)+SUMIFS('Loan Entry'!$V$47:$V$50,'Loan Entry'!$D$47:$D$50,$C$18,'Loan Entry'!$AB$47:$AB$50,"*Jun*",'Loan Entry'!$M$47:$M$50,'Loans to Cash Flows Wkst'!I$2)+SUMIFS('Loan Entry'!$V$55:$V$58,'Loan Entry'!$D$55:$D$58,$C$18,'Loan Entry'!$AB$55:$AB$58,"*Jun*",'Loan Entry'!$M$55:$M$58,'Loans to Cash Flows Wkst'!I$2)+SUMIFS('Loan Entry'!$V$39:$V$42,'Loan Entry'!$D$39:$D$42,$C$18,'Loan Entry'!$AB$39:$AB$42,"*Jun*",'Loan Entry'!$M$39:$M$42,'Loans to Cash Flows Wkst'!I$2)</f>
        <v>0</v>
      </c>
      <c r="J24" s="687">
        <f>SUMIFS('Loan Entry'!$V$15:$V$18,'Loan Entry'!$D$15:$D$18,$C$18,'Loan Entry'!$AB$15:$AB$18,"*Jun*",'Loan Entry'!$M$15:$M$18,'Loans to Cash Flows Wkst'!J$2)+SUMIFS('Loan Entry'!$V$23:$V$26,'Loan Entry'!$D$23:$D$26,$C$18,'Loan Entry'!$AB$23:$AB$26,"*Jun*",'Loan Entry'!$M$23:$M$26,'Loans to Cash Flows Wkst'!J$2)+SUMIFS('Loan Entry'!$V$31:$V$34,'Loan Entry'!$D$31:$D$34,$C$18,'Loan Entry'!$AB$31:$AB$34,"*Jun*",'Loan Entry'!$M$31:$M$34,'Loans to Cash Flows Wkst'!J$2)+SUMIFS('Loan Entry'!$V$47:$V$50,'Loan Entry'!$D$47:$D$50,$C$18,'Loan Entry'!$AB$47:$AB$50,"*Jun*",'Loan Entry'!$M$47:$M$50,'Loans to Cash Flows Wkst'!J$2) +SUMIFS('Loan Entry'!$V$55:$V$58,'Loan Entry'!$D$55:$D$58,$C$18,'Loan Entry'!$AB$55:$AB$58,"*Jun*",'Loan Entry'!$M$55:$M$58,'Loans to Cash Flows Wkst'!J$2)+SUMIFS('Loan Entry'!$V$39:$V$42,'Loan Entry'!$D$39:$D$42,$C$18,'Loan Entry'!$AB$39:$AB$42,"*Jun*",'Loan Entry'!$M$39:$M$42,'Loans to Cash Flows Wkst'!J$2)</f>
        <v>0</v>
      </c>
      <c r="K24" s="687">
        <f>SUMIFS('Loan Entry'!$V$15:$V$18,'Loan Entry'!$D$15:$D$18,$C$18,'Loan Entry'!$AB$15:$AB$18,"*Jun*",'Loan Entry'!$M$15:$M$18,'Loans to Cash Flows Wkst'!K$2)+SUMIFS('Loan Entry'!$V$23:$V$26,'Loan Entry'!$D$23:$D$26,$C$18,'Loan Entry'!$AB$23:$AB$26,"*Jun*",'Loan Entry'!$M$23:$M$26,'Loans to Cash Flows Wkst'!K$2)+SUMIFS('Loan Entry'!$V$31:$V$34,'Loan Entry'!$D$31:$D$34,$C$18,'Loan Entry'!$AB$31:$AB$34,"*Jun*",'Loan Entry'!$M$31:$M$34,'Loans to Cash Flows Wkst'!K$2)+SUMIFS('Loan Entry'!$V$47:$V$50,'Loan Entry'!$D$47:$D$50,$C$18,'Loan Entry'!$AB$47:$AB$50,"*Jun*",'Loan Entry'!$M$47:$M$50,'Loans to Cash Flows Wkst'!K$2) +SUMIFS('Loan Entry'!$V$55:$V$58,'Loan Entry'!$D$55:$D$58,$C$18,'Loan Entry'!$AB$55:$AB$58,"*Jun*",'Loan Entry'!$M$55:$M$58,'Loans to Cash Flows Wkst'!K$2)+SUMIFS('Loan Entry'!$V$39:$V$42,'Loan Entry'!$D$39:$D$42,$C$18,'Loan Entry'!$AB$39:$AB$42,"*Jun*",'Loan Entry'!$M$39:$M$42,'Loans to Cash Flows Wkst'!K$2)</f>
        <v>0</v>
      </c>
      <c r="M24" s="774" t="s">
        <v>8</v>
      </c>
      <c r="N24" s="687">
        <f>SUMIFS('Loan Entry'!$W$15:$W$18,'Loan Entry'!$D$15:$D$18,$C$18,'Loan Entry'!$AB$15:$AB$18,$C24,'Loan Entry'!$M$15:$M$18,'Loans to Cash Flows Wkst'!N$2)+SUMIFS('Loan Entry'!$W$23:$W$26,'Loan Entry'!$D$23:$D$26,$C$18,'Loan Entry'!$AB$23:$AB$26,$C24,'Loan Entry'!$M$23:$M$26,'Loans to Cash Flows Wkst'!N$2)+SUMIFS('Loan Entry'!$W$31:$W$34,'Loan Entry'!$D$31:$D$34,$C$18,'Loan Entry'!$AB$31:$AB$34,$C24,'Loan Entry'!$M$31:$M$34,'Loans to Cash Flows Wkst'!N$2)+SUMIFS('Loan Entry'!$W$47:$W$50,'Loan Entry'!$D$47:$D$50,$C$18,'Loan Entry'!$AB$47:$AB$50,$C24,'Loan Entry'!$M$47:$M$50,'Loans to Cash Flows Wkst'!N$2)+SUMIFS('Loan Entry'!$W$55:$W$58,'Loan Entry'!$D$55:$D$58,$C$18,'Loan Entry'!$AB$55:$AB$58,$C24,'Loan Entry'!$M$55:$M$58,'Loans to Cash Flows Wkst'!N$2)+SUMIFS('Loan Entry'!$W$39:$W$42,'Loan Entry'!$D$39:$D$42,$C$18,'Loan Entry'!$AB$39:$AB$42,$C24,'Loan Entry'!$M$39:$M$42,'Loans to Cash Flows Wkst'!N$2)</f>
        <v>0</v>
      </c>
      <c r="O24" s="687">
        <f>SUMIFS('Loan Entry'!$W$15:$W$18,'Loan Entry'!$D$15:$D$18,$C$18,'Loan Entry'!$AB$15:$AB$18,"*Jun*",'Loan Entry'!$M$15:$M$18,'Loans to Cash Flows Wkst'!O$2)+SUMIFS('Loan Entry'!$W$23:$W$26,'Loan Entry'!$D$23:$D$26,$C$18,'Loan Entry'!$AB$23:$AB$26,"*Jun*",'Loan Entry'!$M$23:$M$26,'Loans to Cash Flows Wkst'!O$2)+SUMIFS('Loan Entry'!$W$31:$W$34,'Loan Entry'!$D$31:$D$34,$C$18,'Loan Entry'!$AB$31:$AB$34,"*Jun*",'Loan Entry'!$M$31:$M$34,'Loans to Cash Flows Wkst'!O$2)+SUMIFS('Loan Entry'!$W$47:$W$50,'Loan Entry'!$D$47:$D$50,$C$18,'Loan Entry'!$AB$47:$AB$50,"*Jun*",'Loan Entry'!$M$47:$M$50,'Loans to Cash Flows Wkst'!O$2)+SUMIFS('Loan Entry'!$W$55:$W$58,'Loan Entry'!$D$55:$D$58,$C$18,'Loan Entry'!$AB$55:$AB$58,"*Jun*",'Loan Entry'!$M$55:$M$58,'Loans to Cash Flows Wkst'!O$2)+SUMIFS('Loan Entry'!$W$39:$W$42,'Loan Entry'!$D$39:$D$42,$C$18,'Loan Entry'!$AB$39:$AB$42,"*Jun*",'Loan Entry'!$M$39:$M$42,'Loans to Cash Flows Wkst'!O$2)</f>
        <v>0</v>
      </c>
      <c r="P24" s="687">
        <f>SUMIFS('Loan Entry'!$W$15:$W$18,'Loan Entry'!$D$15:$D$18,$C$18,'Loan Entry'!$AB$15:$AB$18,"*Jun*",'Loan Entry'!$M$15:$M$18,'Loans to Cash Flows Wkst'!P$2)+SUMIFS('Loan Entry'!$W$23:$W$26,'Loan Entry'!$D$23:$D$26,$C$18,'Loan Entry'!$AB$23:$AB$26,"*Jun*",'Loan Entry'!$M$23:$M$26,'Loans to Cash Flows Wkst'!P$2)+SUMIFS('Loan Entry'!$W$31:$W$34,'Loan Entry'!$D$31:$D$34,$C$18,'Loan Entry'!$AB$31:$AB$34,"*Jun*",'Loan Entry'!$M$31:$M$34,'Loans to Cash Flows Wkst'!P$2)+SUMIFS('Loan Entry'!$W$47:$W$50,'Loan Entry'!$D$47:$D$50,$C$18,'Loan Entry'!$AB$47:$AB$50,"*Jun*",'Loan Entry'!$M$47:$M$50,'Loans to Cash Flows Wkst'!P$2)+SUMIFS('Loan Entry'!$W$55:$W$58,'Loan Entry'!$D$55:$D$58,$C$18,'Loan Entry'!$AB$55:$AB$58,"*Jun*",'Loan Entry'!$M$55:$M$58,'Loans to Cash Flows Wkst'!P$2)+SUMIFS('Loan Entry'!$W$39:$W$42,'Loan Entry'!$D$39:$D$42,$C$18,'Loan Entry'!$AB$39:$AB$42,"*Jun*",'Loan Entry'!$M$39:$M$42,'Loans to Cash Flows Wkst'!P$2)</f>
        <v>0</v>
      </c>
      <c r="Q24" s="687">
        <f>SUMIFS('Loan Entry'!$W$15:$W$18,'Loan Entry'!$D$15:$D$18,$C$18,'Loan Entry'!$AB$15:$AB$18,"*Jun*",'Loan Entry'!$M$15:$M$18,'Loans to Cash Flows Wkst'!Q$2)+SUMIFS('Loan Entry'!$W$23:$W$26,'Loan Entry'!$D$23:$D$26,$C$18,'Loan Entry'!$AB$23:$AB$26,"*Jun*",'Loan Entry'!$M$23:$M$26,'Loans to Cash Flows Wkst'!Q$2)+SUMIFS('Loan Entry'!$W$31:$W$34,'Loan Entry'!$D$31:$D$34,$C$18,'Loan Entry'!$AB$31:$AB$34,"*Jun*",'Loan Entry'!$M$31:$M$34,'Loans to Cash Flows Wkst'!Q$2)+SUMIFS('Loan Entry'!$W$47:$W$50,'Loan Entry'!$D$47:$D$50,$C$18,'Loan Entry'!$AB$47:$AB$50,"*Jun*",'Loan Entry'!$M$47:$M$50,'Loans to Cash Flows Wkst'!Q$2)+SUMIFS('Loan Entry'!$W$55:$W$58,'Loan Entry'!$D$55:$D$58,$C$18,'Loan Entry'!$AB$55:$AB$58,"*Jun*",'Loan Entry'!$M$55:$M$58,'Loans to Cash Flows Wkst'!Q$2)+SUMIFS('Loan Entry'!$W$39:$W$42,'Loan Entry'!$D$39:$D$42,$C$18,'Loan Entry'!$AB$39:$AB$42,"*Jun*",'Loan Entry'!$M$39:$M$42,'Loans to Cash Flows Wkst'!Q$2)</f>
        <v>0</v>
      </c>
    </row>
    <row r="25" spans="2:17" x14ac:dyDescent="0.2">
      <c r="B25" s="777" t="s">
        <v>187</v>
      </c>
      <c r="C25" s="778" t="s">
        <v>9</v>
      </c>
      <c r="D25" s="686">
        <f>SUM('Loans to Cash Flows Wkst'!$H25:$K25)</f>
        <v>0</v>
      </c>
      <c r="E25" s="686">
        <f>SUM('Loans to Cash Flows Wkst'!$N25:$Q25)</f>
        <v>0</v>
      </c>
      <c r="G25" s="777" t="s">
        <v>9</v>
      </c>
      <c r="H25" s="779">
        <f>SUMIFS('Loan Entry'!$V$15:$V$18,'Loan Entry'!$D$15:$D$18,$C$18,'Loan Entry'!$AB$15:$AB$18,$C25,'Loan Entry'!$M$15:$M$18,'Loans to Cash Flows Wkst'!H$2)+SUMIFS('Loan Entry'!$V$23:$V$26,'Loan Entry'!$D$23:$D$26,$C$18,'Loan Entry'!$AB$23:$AB$26,$C25,'Loan Entry'!$M$23:$M$26,'Loans to Cash Flows Wkst'!H$2)+SUMIFS('Loan Entry'!$V$31:$V$34,'Loan Entry'!$D$31:$D$34,$C$18,'Loan Entry'!$AB$31:$AB$34,$C25,'Loan Entry'!$M$31:$M$34,'Loans to Cash Flows Wkst'!H$2)+SUMIFS('Loan Entry'!$V$47:$V$50,'Loan Entry'!$D$47:$D$50,$C$18,'Loan Entry'!$AB$47:$AB$50,$C25,'Loan Entry'!$M$47:$M$50,'Loans to Cash Flows Wkst'!H$2) +SUMIFS('Loan Entry'!$V$55:$V$58,'Loan Entry'!$D$55:$D$58,$C$18,'Loan Entry'!$AB$55:$AB$58,$C25,'Loan Entry'!$M$55:$M$58,'Loans to Cash Flows Wkst'!H$2)+SUMIFS('Loan Entry'!$V$39:$V$42,'Loan Entry'!$D$39:$D$42,$C$18,'Loan Entry'!$AB$39:$AB$42,$C25,'Loan Entry'!$M$39:$M$42,'Loans to Cash Flows Wkst'!H$2)</f>
        <v>0</v>
      </c>
      <c r="I25" s="686">
        <f>SUMIFS('Loan Entry'!$V$15:$V$18,'Loan Entry'!$D$15:$D$18,$C$18,'Loan Entry'!$AB$15:$AB$18,"*Jul*",'Loan Entry'!$M$15:$M$18,'Loans to Cash Flows Wkst'!I$2)+SUMIFS('Loan Entry'!$V$23:$V$26,'Loan Entry'!$D$23:$D$26,$C$18,'Loan Entry'!$AB$23:$AB$26,"*Jul*",'Loan Entry'!$M$23:$M$26,'Loans to Cash Flows Wkst'!I$2)+SUMIFS('Loan Entry'!$V$31:$V$34,'Loan Entry'!$D$31:$D$34,$C$18,'Loan Entry'!$AB$31:$AB$34,"*Jul*",'Loan Entry'!$M$31:$M$34,'Loans to Cash Flows Wkst'!I$2)+SUMIFS('Loan Entry'!$V$47:$V$50,'Loan Entry'!$D$47:$D$50,$C$18,'Loan Entry'!$AB$47:$AB$50,"*Jul*",'Loan Entry'!$M$47:$M$50,'Loans to Cash Flows Wkst'!I$2)+SUMIFS('Loan Entry'!$V$55:$V$58,'Loan Entry'!$D$55:$D$58,$C$18,'Loan Entry'!$AB$55:$AB$58,"*Jul*",'Loan Entry'!$M$55:$M$58,'Loans to Cash Flows Wkst'!I$2)+SUMIFS('Loan Entry'!$V$39:$V$42,'Loan Entry'!$D$39:$D$42,$C$18,'Loan Entry'!$AB$39:$AB$42,"*Jul*",'Loan Entry'!$M$39:$M$42,'Loans to Cash Flows Wkst'!I$2)</f>
        <v>0</v>
      </c>
      <c r="J25" s="686">
        <f>SUMIFS('Loan Entry'!$V$15:$V$18,'Loan Entry'!$D$15:$D$18,$C$18,'Loan Entry'!$AB$15:$AB$18,"*Jul*",'Loan Entry'!$M$15:$M$18,'Loans to Cash Flows Wkst'!J$2)+SUMIFS('Loan Entry'!$V$23:$V$26,'Loan Entry'!$D$23:$D$26,$C$18,'Loan Entry'!$AB$23:$AB$26,"*Jul*",'Loan Entry'!$M$23:$M$26,'Loans to Cash Flows Wkst'!J$2)+SUMIFS('Loan Entry'!$V$31:$V$34,'Loan Entry'!$D$31:$D$34,$C$18,'Loan Entry'!$AB$31:$AB$34,"*Jul*",'Loan Entry'!$M$31:$M$34,'Loans to Cash Flows Wkst'!J$2)+SUMIFS('Loan Entry'!$V$47:$V$50,'Loan Entry'!$D$47:$D$50,$C$18,'Loan Entry'!$AB$47:$AB$50,"*Jul*",'Loan Entry'!$M$47:$M$50,'Loans to Cash Flows Wkst'!J$2) +SUMIFS('Loan Entry'!$V$55:$V$58,'Loan Entry'!$D$55:$D$58,$C$18,'Loan Entry'!$AB$55:$AB$58,"*Jul*",'Loan Entry'!$M$55:$M$58,'Loans to Cash Flows Wkst'!J$2)+SUMIFS('Loan Entry'!$V$39:$V$42,'Loan Entry'!$D$39:$D$42,$C$18,'Loan Entry'!$AB$39:$AB$42,"*Jul*",'Loan Entry'!$M$39:$M$42,'Loans to Cash Flows Wkst'!J$2)</f>
        <v>0</v>
      </c>
      <c r="K25" s="686">
        <f>SUMIFS('Loan Entry'!$V$15:$V$18,'Loan Entry'!$D$15:$D$18,$C$18,'Loan Entry'!$AB$15:$AB$18,"*Jul*",'Loan Entry'!$M$15:$M$18,'Loans to Cash Flows Wkst'!K$2)+SUMIFS('Loan Entry'!$V$23:$V$26,'Loan Entry'!$D$23:$D$26,$C$18,'Loan Entry'!$AB$23:$AB$26,"*Jul*",'Loan Entry'!$M$23:$M$26,'Loans to Cash Flows Wkst'!K$2)+SUMIFS('Loan Entry'!$V$31:$V$34,'Loan Entry'!$D$31:$D$34,$C$18,'Loan Entry'!$AB$31:$AB$34,"*Jul*",'Loan Entry'!$M$31:$M$34,'Loans to Cash Flows Wkst'!K$2)+SUMIFS('Loan Entry'!$V$47:$V$50,'Loan Entry'!$D$47:$D$50,$C$18,'Loan Entry'!$AB$47:$AB$50,"*Jul*",'Loan Entry'!$M$47:$M$50,'Loans to Cash Flows Wkst'!K$2) +SUMIFS('Loan Entry'!$V$55:$V$58,'Loan Entry'!$D$55:$D$58,$C$18,'Loan Entry'!$AB$55:$AB$58,"*Jul*",'Loan Entry'!$M$55:$M$58,'Loans to Cash Flows Wkst'!K$2)+SUMIFS('Loan Entry'!$V$39:$V$42,'Loan Entry'!$D$39:$D$42,$C$18,'Loan Entry'!$AB$39:$AB$42,"*Jul*",'Loan Entry'!$M$39:$M$42,'Loans to Cash Flows Wkst'!K$2)</f>
        <v>0</v>
      </c>
      <c r="M25" s="777" t="s">
        <v>9</v>
      </c>
      <c r="N25" s="686">
        <f>SUMIFS('Loan Entry'!$W$15:$W$18,'Loan Entry'!$D$15:$D$18,$C$18,'Loan Entry'!$AB$15:$AB$18,$C25,'Loan Entry'!$M$15:$M$18,'Loans to Cash Flows Wkst'!N$2)+SUMIFS('Loan Entry'!$W$23:$W$26,'Loan Entry'!$D$23:$D$26,$C$18,'Loan Entry'!$AB$23:$AB$26,$C25,'Loan Entry'!$M$23:$M$26,'Loans to Cash Flows Wkst'!N$2)+SUMIFS('Loan Entry'!$W$31:$W$34,'Loan Entry'!$D$31:$D$34,$C$18,'Loan Entry'!$AB$31:$AB$34,$C25,'Loan Entry'!$M$31:$M$34,'Loans to Cash Flows Wkst'!N$2)+SUMIFS('Loan Entry'!$W$47:$W$50,'Loan Entry'!$D$47:$D$50,$C$18,'Loan Entry'!$AB$47:$AB$50,$C25,'Loan Entry'!$M$47:$M$50,'Loans to Cash Flows Wkst'!N$2)+SUMIFS('Loan Entry'!$W$55:$W$58,'Loan Entry'!$D$55:$D$58,$C$18,'Loan Entry'!$AB$55:$AB$58,$C25,'Loan Entry'!$M$55:$M$58,'Loans to Cash Flows Wkst'!N$2)+SUMIFS('Loan Entry'!$W$39:$W$42,'Loan Entry'!$D$39:$D$42,$C$18,'Loan Entry'!$AB$39:$AB$42,$C25,'Loan Entry'!$M$39:$M$42,'Loans to Cash Flows Wkst'!N$2)</f>
        <v>0</v>
      </c>
      <c r="O25" s="686">
        <f>SUMIFS('Loan Entry'!$W$15:$W$18,'Loan Entry'!$D$15:$D$18,$C$18,'Loan Entry'!$AB$15:$AB$18,"*Jul*",'Loan Entry'!$M$15:$M$18,'Loans to Cash Flows Wkst'!O$2)+SUMIFS('Loan Entry'!$W$23:$W$26,'Loan Entry'!$D$23:$D$26,$C$18,'Loan Entry'!$AB$23:$AB$26,"*Jul*",'Loan Entry'!$M$23:$M$26,'Loans to Cash Flows Wkst'!O$2)+SUMIFS('Loan Entry'!$W$31:$W$34,'Loan Entry'!$D$31:$D$34,$C$18,'Loan Entry'!$AB$31:$AB$34,"*Jul*",'Loan Entry'!$M$31:$M$34,'Loans to Cash Flows Wkst'!O$2)+SUMIFS('Loan Entry'!$W$47:$W$50,'Loan Entry'!$D$47:$D$50,$C$18,'Loan Entry'!$AB$47:$AB$50,"*Jul*",'Loan Entry'!$M$47:$M$50,'Loans to Cash Flows Wkst'!O$2)+SUMIFS('Loan Entry'!$W$55:$W$58,'Loan Entry'!$D$55:$D$58,$C$18,'Loan Entry'!$AB$55:$AB$58,"*Jul*",'Loan Entry'!$M$55:$M$58,'Loans to Cash Flows Wkst'!O$2)+SUMIFS('Loan Entry'!$W$39:$W$42,'Loan Entry'!$D$39:$D$42,$C$18,'Loan Entry'!$AB$39:$AB$42,"*Jul*",'Loan Entry'!$M$39:$M$42,'Loans to Cash Flows Wkst'!O$2)</f>
        <v>0</v>
      </c>
      <c r="P25" s="686">
        <f>SUMIFS('Loan Entry'!$W$15:$W$18,'Loan Entry'!$D$15:$D$18,$C$18,'Loan Entry'!$AB$15:$AB$18,"*Jul*",'Loan Entry'!$M$15:$M$18,'Loans to Cash Flows Wkst'!P$2)+SUMIFS('Loan Entry'!$W$23:$W$26,'Loan Entry'!$D$23:$D$26,$C$18,'Loan Entry'!$AB$23:$AB$26,"*Jul*",'Loan Entry'!$M$23:$M$26,'Loans to Cash Flows Wkst'!P$2)+SUMIFS('Loan Entry'!$W$31:$W$34,'Loan Entry'!$D$31:$D$34,$C$18,'Loan Entry'!$AB$31:$AB$34,"*Jul*",'Loan Entry'!$M$31:$M$34,'Loans to Cash Flows Wkst'!P$2)+SUMIFS('Loan Entry'!$W$47:$W$50,'Loan Entry'!$D$47:$D$50,$C$18,'Loan Entry'!$AB$47:$AB$50,"*Jul*",'Loan Entry'!$M$47:$M$50,'Loans to Cash Flows Wkst'!P$2)+SUMIFS('Loan Entry'!$W$55:$W$58,'Loan Entry'!$D$55:$D$58,$C$18,'Loan Entry'!$AB$55:$AB$58,"*Jul*",'Loan Entry'!$M$55:$M$58,'Loans to Cash Flows Wkst'!P$2)+SUMIFS('Loan Entry'!$W$39:$W$42,'Loan Entry'!$D$39:$D$42,$C$18,'Loan Entry'!$AB$39:$AB$42,"*Jul*",'Loan Entry'!$M$39:$M$42,'Loans to Cash Flows Wkst'!P$2)</f>
        <v>0</v>
      </c>
      <c r="Q25" s="686">
        <f>SUMIFS('Loan Entry'!$W$15:$W$18,'Loan Entry'!$D$15:$D$18,$C$18,'Loan Entry'!$AB$15:$AB$18,"*Jul*",'Loan Entry'!$M$15:$M$18,'Loans to Cash Flows Wkst'!Q$2)+SUMIFS('Loan Entry'!$W$23:$W$26,'Loan Entry'!$D$23:$D$26,$C$18,'Loan Entry'!$AB$23:$AB$26,"*Jul*",'Loan Entry'!$M$23:$M$26,'Loans to Cash Flows Wkst'!Q$2)+SUMIFS('Loan Entry'!$W$31:$W$34,'Loan Entry'!$D$31:$D$34,$C$18,'Loan Entry'!$AB$31:$AB$34,"*Jul*",'Loan Entry'!$M$31:$M$34,'Loans to Cash Flows Wkst'!Q$2)+SUMIFS('Loan Entry'!$W$47:$W$50,'Loan Entry'!$D$47:$D$50,$C$18,'Loan Entry'!$AB$47:$AB$50,"*Jul*",'Loan Entry'!$M$47:$M$50,'Loans to Cash Flows Wkst'!Q$2)+SUMIFS('Loan Entry'!$W$55:$W$58,'Loan Entry'!$D$55:$D$58,$C$18,'Loan Entry'!$AB$55:$AB$58,"*Jul*",'Loan Entry'!$M$55:$M$58,'Loans to Cash Flows Wkst'!Q$2)+SUMIFS('Loan Entry'!$W$39:$W$42,'Loan Entry'!$D$39:$D$42,$C$18,'Loan Entry'!$AB$39:$AB$42,"*Jul*",'Loan Entry'!$M$39:$M$42,'Loans to Cash Flows Wkst'!Q$2)</f>
        <v>0</v>
      </c>
    </row>
    <row r="26" spans="2:17" x14ac:dyDescent="0.2">
      <c r="B26" s="774" t="s">
        <v>188</v>
      </c>
      <c r="C26" s="780" t="s">
        <v>10</v>
      </c>
      <c r="D26" s="687">
        <f>SUM('Loans to Cash Flows Wkst'!$H26:$K26)</f>
        <v>0</v>
      </c>
      <c r="E26" s="687">
        <f>SUM('Loans to Cash Flows Wkst'!$N26:$Q26)</f>
        <v>0</v>
      </c>
      <c r="G26" s="774" t="s">
        <v>10</v>
      </c>
      <c r="H26" s="776">
        <f>SUMIFS('Loan Entry'!$V$15:$V$18,'Loan Entry'!$D$15:$D$18,$C$18,'Loan Entry'!$AB$15:$AB$18,$C26,'Loan Entry'!$M$15:$M$18,'Loans to Cash Flows Wkst'!H$2)+SUMIFS('Loan Entry'!$V$23:$V$26,'Loan Entry'!$D$23:$D$26,$C$18,'Loan Entry'!$AB$23:$AB$26,$C26,'Loan Entry'!$M$23:$M$26,'Loans to Cash Flows Wkst'!H$2)+SUMIFS('Loan Entry'!$V$31:$V$34,'Loan Entry'!$D$31:$D$34,$C$18,'Loan Entry'!$AB$31:$AB$34,$C26,'Loan Entry'!$M$31:$M$34,'Loans to Cash Flows Wkst'!H$2)+SUMIFS('Loan Entry'!$V$47:$V$50,'Loan Entry'!$D$47:$D$50,$C$18,'Loan Entry'!$AB$47:$AB$50,$C26,'Loan Entry'!$M$47:$M$50,'Loans to Cash Flows Wkst'!H$2) +SUMIFS('Loan Entry'!$V$55:$V$58,'Loan Entry'!$D$55:$D$58,$C$18,'Loan Entry'!$AB$55:$AB$58,$C26,'Loan Entry'!$M$55:$M$58,'Loans to Cash Flows Wkst'!H$2)+SUMIFS('Loan Entry'!$V$39:$V$42,'Loan Entry'!$D$39:$D$42,$C$18,'Loan Entry'!$AB$39:$AB$42,$C26,'Loan Entry'!$M$39:$M$42,'Loans to Cash Flows Wkst'!H$2)</f>
        <v>0</v>
      </c>
      <c r="I26" s="687">
        <f>SUMIFS('Loan Entry'!$V$15:$V$18,'Loan Entry'!$D$15:$D$18,$C$18,'Loan Entry'!$AB$15:$AB$18,"*Aug*",'Loan Entry'!$M$15:$M$18,'Loans to Cash Flows Wkst'!I$2)+SUMIFS('Loan Entry'!$V$23:$V$26,'Loan Entry'!$D$23:$D$26,$C$18,'Loan Entry'!$AB$23:$AB$26,"*Aug*",'Loan Entry'!$M$23:$M$26,'Loans to Cash Flows Wkst'!I$2)+SUMIFS('Loan Entry'!$V$31:$V$34,'Loan Entry'!$D$31:$D$34,$C$18,'Loan Entry'!$AB$31:$AB$34,"*Aug*",'Loan Entry'!$M$31:$M$34,'Loans to Cash Flows Wkst'!I$2)+SUMIFS('Loan Entry'!$V$47:$V$50,'Loan Entry'!$D$47:$D$50,$C$18,'Loan Entry'!$AB$47:$AB$50,"*Aug*",'Loan Entry'!$M$47:$M$50,'Loans to Cash Flows Wkst'!I$2)+SUMIFS('Loan Entry'!$V$55:$V$58,'Loan Entry'!$D$55:$D$58,$C$18,'Loan Entry'!$AB$55:$AB$58,"*Aug*",'Loan Entry'!$M$55:$M$58,'Loans to Cash Flows Wkst'!I$2)+SUMIFS('Loan Entry'!$V$39:$V$42,'Loan Entry'!$D$39:$D$42,$C$18,'Loan Entry'!$AB$39:$AB$42,"*Aug*",'Loan Entry'!$M$39:$M$42,'Loans to Cash Flows Wkst'!I$2)</f>
        <v>0</v>
      </c>
      <c r="J26" s="687">
        <f>SUMIFS('Loan Entry'!$V$15:$V$18,'Loan Entry'!$D$15:$D$18,$C$18,'Loan Entry'!$AB$15:$AB$18,"*Aug*",'Loan Entry'!$M$15:$M$18,'Loans to Cash Flows Wkst'!J$2)+SUMIFS('Loan Entry'!$V$23:$V$26,'Loan Entry'!$D$23:$D$26,$C$18,'Loan Entry'!$AB$23:$AB$26,"*Aug*",'Loan Entry'!$M$23:$M$26,'Loans to Cash Flows Wkst'!J$2)+SUMIFS('Loan Entry'!$V$31:$V$34,'Loan Entry'!$D$31:$D$34,$C$18,'Loan Entry'!$AB$31:$AB$34,"*Aug*",'Loan Entry'!$M$31:$M$34,'Loans to Cash Flows Wkst'!J$2)+SUMIFS('Loan Entry'!$V$47:$V$50,'Loan Entry'!$D$47:$D$50,$C$18,'Loan Entry'!$AB$47:$AB$50,"*Aug*",'Loan Entry'!$M$47:$M$50,'Loans to Cash Flows Wkst'!J$2) +SUMIFS('Loan Entry'!$V$55:$V$58,'Loan Entry'!$D$55:$D$58,$C$18,'Loan Entry'!$AB$55:$AB$58,"*Aug*",'Loan Entry'!$M$55:$M$58,'Loans to Cash Flows Wkst'!J$2)+SUMIFS('Loan Entry'!$V$39:$V$42,'Loan Entry'!$D$39:$D$42,$C$18,'Loan Entry'!$AB$39:$AB$42,"*Aug*",'Loan Entry'!$M$39:$M$42,'Loans to Cash Flows Wkst'!J$2)</f>
        <v>0</v>
      </c>
      <c r="K26" s="687">
        <f>SUMIFS('Loan Entry'!$V$15:$V$18,'Loan Entry'!$D$15:$D$18,$C$18,'Loan Entry'!$AB$15:$AB$18,"*Aug*",'Loan Entry'!$M$15:$M$18,'Loans to Cash Flows Wkst'!K$2)+SUMIFS('Loan Entry'!$V$23:$V$26,'Loan Entry'!$D$23:$D$26,$C$18,'Loan Entry'!$AB$23:$AB$26,"*Aug*",'Loan Entry'!$M$23:$M$26,'Loans to Cash Flows Wkst'!K$2)+SUMIFS('Loan Entry'!$V$31:$V$34,'Loan Entry'!$D$31:$D$34,$C$18,'Loan Entry'!$AB$31:$AB$34,"*Aug*",'Loan Entry'!$M$31:$M$34,'Loans to Cash Flows Wkst'!K$2)+SUMIFS('Loan Entry'!$V$47:$V$50,'Loan Entry'!$D$47:$D$50,$C$18,'Loan Entry'!$AB$47:$AB$50,"*Aug*",'Loan Entry'!$M$47:$M$50,'Loans to Cash Flows Wkst'!K$2) +SUMIFS('Loan Entry'!$V$55:$V$58,'Loan Entry'!$D$55:$D$58,$C$18,'Loan Entry'!$AB$55:$AB$58,"*Aug*",'Loan Entry'!$M$55:$M$58,'Loans to Cash Flows Wkst'!K$2)+SUMIFS('Loan Entry'!$V$39:$V$42,'Loan Entry'!$D$39:$D$42,$C$18,'Loan Entry'!$AB$39:$AB$42,"*Aug*",'Loan Entry'!$M$39:$M$42,'Loans to Cash Flows Wkst'!K$2)</f>
        <v>0</v>
      </c>
      <c r="M26" s="774" t="s">
        <v>10</v>
      </c>
      <c r="N26" s="687">
        <f>SUMIFS('Loan Entry'!$W$15:$W$18,'Loan Entry'!$D$15:$D$18,$C$18,'Loan Entry'!$AB$15:$AB$18,$C26,'Loan Entry'!$M$15:$M$18,'Loans to Cash Flows Wkst'!N$2)+SUMIFS('Loan Entry'!$W$23:$W$26,'Loan Entry'!$D$23:$D$26,$C$18,'Loan Entry'!$AB$23:$AB$26,$C26,'Loan Entry'!$M$23:$M$26,'Loans to Cash Flows Wkst'!N$2)+SUMIFS('Loan Entry'!$W$31:$W$34,'Loan Entry'!$D$31:$D$34,$C$18,'Loan Entry'!$AB$31:$AB$34,$C26,'Loan Entry'!$M$31:$M$34,'Loans to Cash Flows Wkst'!N$2)+SUMIFS('Loan Entry'!$W$47:$W$50,'Loan Entry'!$D$47:$D$50,$C$18,'Loan Entry'!$AB$47:$AB$50,$C26,'Loan Entry'!$M$47:$M$50,'Loans to Cash Flows Wkst'!N$2)+SUMIFS('Loan Entry'!$W$55:$W$58,'Loan Entry'!$D$55:$D$58,$C$18,'Loan Entry'!$AB$55:$AB$58,$C26,'Loan Entry'!$M$55:$M$58,'Loans to Cash Flows Wkst'!N$2)+SUMIFS('Loan Entry'!$W$39:$W$42,'Loan Entry'!$D$39:$D$42,$C$18,'Loan Entry'!$AB$39:$AB$42,$C26,'Loan Entry'!$M$39:$M$42,'Loans to Cash Flows Wkst'!N$2)</f>
        <v>0</v>
      </c>
      <c r="O26" s="687">
        <f>SUMIFS('Loan Entry'!$W$15:$W$18,'Loan Entry'!$D$15:$D$18,$C$18,'Loan Entry'!$AB$15:$AB$18,"*Aug*",'Loan Entry'!$M$15:$M$18,'Loans to Cash Flows Wkst'!O$2)+SUMIFS('Loan Entry'!$W$23:$W$26,'Loan Entry'!$D$23:$D$26,$C$18,'Loan Entry'!$AB$23:$AB$26,"*Aug*",'Loan Entry'!$M$23:$M$26,'Loans to Cash Flows Wkst'!O$2)+SUMIFS('Loan Entry'!$W$31:$W$34,'Loan Entry'!$D$31:$D$34,$C$18,'Loan Entry'!$AB$31:$AB$34,"*Aug*",'Loan Entry'!$M$31:$M$34,'Loans to Cash Flows Wkst'!O$2)+SUMIFS('Loan Entry'!$W$47:$W$50,'Loan Entry'!$D$47:$D$50,$C$18,'Loan Entry'!$AB$47:$AB$50,"*Aug*",'Loan Entry'!$M$47:$M$50,'Loans to Cash Flows Wkst'!O$2)+SUMIFS('Loan Entry'!$W$55:$W$58,'Loan Entry'!$D$55:$D$58,$C$18,'Loan Entry'!$AB$55:$AB$58,"*Aug*",'Loan Entry'!$M$55:$M$58,'Loans to Cash Flows Wkst'!O$2)+SUMIFS('Loan Entry'!$W$39:$W$42,'Loan Entry'!$D$39:$D$42,$C$18,'Loan Entry'!$AB$39:$AB$42,"*Aug*",'Loan Entry'!$M$39:$M$42,'Loans to Cash Flows Wkst'!O$2)</f>
        <v>0</v>
      </c>
      <c r="P26" s="687">
        <f>SUMIFS('Loan Entry'!$W$15:$W$18,'Loan Entry'!$D$15:$D$18,$C$18,'Loan Entry'!$AB$15:$AB$18,"*Aug*",'Loan Entry'!$M$15:$M$18,'Loans to Cash Flows Wkst'!P$2)+SUMIFS('Loan Entry'!$W$23:$W$26,'Loan Entry'!$D$23:$D$26,$C$18,'Loan Entry'!$AB$23:$AB$26,"*Aug*",'Loan Entry'!$M$23:$M$26,'Loans to Cash Flows Wkst'!P$2)+SUMIFS('Loan Entry'!$W$31:$W$34,'Loan Entry'!$D$31:$D$34,$C$18,'Loan Entry'!$AB$31:$AB$34,"*Aug*",'Loan Entry'!$M$31:$M$34,'Loans to Cash Flows Wkst'!P$2)+SUMIFS('Loan Entry'!$W$47:$W$50,'Loan Entry'!$D$47:$D$50,$C$18,'Loan Entry'!$AB$47:$AB$50,"*Aug*",'Loan Entry'!$M$47:$M$50,'Loans to Cash Flows Wkst'!P$2)+SUMIFS('Loan Entry'!$W$55:$W$58,'Loan Entry'!$D$55:$D$58,$C$18,'Loan Entry'!$AB$55:$AB$58,"*Aug*",'Loan Entry'!$M$55:$M$58,'Loans to Cash Flows Wkst'!P$2)+SUMIFS('Loan Entry'!$W$39:$W$42,'Loan Entry'!$D$39:$D$42,$C$18,'Loan Entry'!$AB$39:$AB$42,"*Aug*",'Loan Entry'!$M$39:$M$42,'Loans to Cash Flows Wkst'!P$2)</f>
        <v>0</v>
      </c>
      <c r="Q26" s="687">
        <f>SUMIFS('Loan Entry'!$W$15:$W$18,'Loan Entry'!$D$15:$D$18,$C$18,'Loan Entry'!$AB$15:$AB$18,"*Aug*",'Loan Entry'!$M$15:$M$18,'Loans to Cash Flows Wkst'!Q$2)+SUMIFS('Loan Entry'!$W$23:$W$26,'Loan Entry'!$D$23:$D$26,$C$18,'Loan Entry'!$AB$23:$AB$26,"*Aug*",'Loan Entry'!$M$23:$M$26,'Loans to Cash Flows Wkst'!Q$2)+SUMIFS('Loan Entry'!$W$31:$W$34,'Loan Entry'!$D$31:$D$34,$C$18,'Loan Entry'!$AB$31:$AB$34,"*Aug*",'Loan Entry'!$M$31:$M$34,'Loans to Cash Flows Wkst'!Q$2)+SUMIFS('Loan Entry'!$W$47:$W$50,'Loan Entry'!$D$47:$D$50,$C$18,'Loan Entry'!$AB$47:$AB$50,"*Aug*",'Loan Entry'!$M$47:$M$50,'Loans to Cash Flows Wkst'!Q$2)+SUMIFS('Loan Entry'!$W$55:$W$58,'Loan Entry'!$D$55:$D$58,$C$18,'Loan Entry'!$AB$55:$AB$58,"*Aug*",'Loan Entry'!$M$55:$M$58,'Loans to Cash Flows Wkst'!Q$2)+SUMIFS('Loan Entry'!$W$39:$W$42,'Loan Entry'!$D$39:$D$42,$C$18,'Loan Entry'!$AB$39:$AB$42,"*Aug*",'Loan Entry'!$M$39:$M$42,'Loans to Cash Flows Wkst'!Q$2)</f>
        <v>0</v>
      </c>
    </row>
    <row r="27" spans="2:17" x14ac:dyDescent="0.2">
      <c r="B27" s="777" t="s">
        <v>189</v>
      </c>
      <c r="C27" s="778" t="s">
        <v>11</v>
      </c>
      <c r="D27" s="686">
        <f>SUM('Loans to Cash Flows Wkst'!$H27:$K27)</f>
        <v>0</v>
      </c>
      <c r="E27" s="686">
        <f>SUM('Loans to Cash Flows Wkst'!$N27:$Q27)</f>
        <v>0</v>
      </c>
      <c r="G27" s="777" t="s">
        <v>11</v>
      </c>
      <c r="H27" s="779">
        <f>SUMIFS('Loan Entry'!$V$15:$V$18,'Loan Entry'!$D$15:$D$18,$C$18,'Loan Entry'!$AB$15:$AB$18,$C27,'Loan Entry'!$M$15:$M$18,'Loans to Cash Flows Wkst'!H$2)+SUMIFS('Loan Entry'!$V$23:$V$26,'Loan Entry'!$D$23:$D$26,$C$18,'Loan Entry'!$AB$23:$AB$26,$C27,'Loan Entry'!$M$23:$M$26,'Loans to Cash Flows Wkst'!H$2)+SUMIFS('Loan Entry'!$V$31:$V$34,'Loan Entry'!$D$31:$D$34,$C$18,'Loan Entry'!$AB$31:$AB$34,$C27,'Loan Entry'!$M$31:$M$34,'Loans to Cash Flows Wkst'!H$2)+SUMIFS('Loan Entry'!$V$47:$V$50,'Loan Entry'!$D$47:$D$50,$C$18,'Loan Entry'!$AB$47:$AB$50,$C27,'Loan Entry'!$M$47:$M$50,'Loans to Cash Flows Wkst'!H$2) +SUMIFS('Loan Entry'!$V$55:$V$58,'Loan Entry'!$D$55:$D$58,$C$18,'Loan Entry'!$AB$55:$AB$58,$C27,'Loan Entry'!$M$55:$M$58,'Loans to Cash Flows Wkst'!H$2)+SUMIFS('Loan Entry'!$V$39:$V$42,'Loan Entry'!$D$39:$D$42,$C$18,'Loan Entry'!$AB$39:$AB$42,$C27,'Loan Entry'!$M$39:$M$42,'Loans to Cash Flows Wkst'!H$2)</f>
        <v>0</v>
      </c>
      <c r="I27" s="686">
        <f>SUMIFS('Loan Entry'!$V$15:$V$18,'Loan Entry'!$D$15:$D$18,$C$18,'Loan Entry'!$AB$15:$AB$18,"*Sep*",'Loan Entry'!$M$15:$M$18,'Loans to Cash Flows Wkst'!I$2)+SUMIFS('Loan Entry'!$V$23:$V$26,'Loan Entry'!$D$23:$D$26,$C$18,'Loan Entry'!$AB$23:$AB$26,"*Sep*",'Loan Entry'!$M$23:$M$26,'Loans to Cash Flows Wkst'!I$2)+SUMIFS('Loan Entry'!$V$31:$V$34,'Loan Entry'!$D$31:$D$34,$C$18,'Loan Entry'!$AB$31:$AB$34,"*Sep*",'Loan Entry'!$M$31:$M$34,'Loans to Cash Flows Wkst'!I$2)+SUMIFS('Loan Entry'!$V$47:$V$50,'Loan Entry'!$D$47:$D$50,$C$18,'Loan Entry'!$AB$47:$AB$50,"*Sep*",'Loan Entry'!$M$47:$M$50,'Loans to Cash Flows Wkst'!I$2)+SUMIFS('Loan Entry'!$V$55:$V$58,'Loan Entry'!$D$55:$D$58,$C$18,'Loan Entry'!$AB$55:$AB$58,"*Sep*",'Loan Entry'!$M$55:$M$58,'Loans to Cash Flows Wkst'!I$2)+SUMIFS('Loan Entry'!$V$39:$V$42,'Loan Entry'!$D$39:$D$42,$C$18,'Loan Entry'!$AB$39:$AB$42,"*Sep*",'Loan Entry'!$M$39:$M$42,'Loans to Cash Flows Wkst'!I$2)</f>
        <v>0</v>
      </c>
      <c r="J27" s="686">
        <f>SUMIFS('Loan Entry'!$V$15:$V$18,'Loan Entry'!$D$15:$D$18,$C$18,'Loan Entry'!$AB$15:$AB$18,"*Sep*",'Loan Entry'!$M$15:$M$18,'Loans to Cash Flows Wkst'!J$2)+SUMIFS('Loan Entry'!$V$23:$V$26,'Loan Entry'!$D$23:$D$26,$C$18,'Loan Entry'!$AB$23:$AB$26,"*Sep*",'Loan Entry'!$M$23:$M$26,'Loans to Cash Flows Wkst'!J$2)+SUMIFS('Loan Entry'!$V$31:$V$34,'Loan Entry'!$D$31:$D$34,$C$18,'Loan Entry'!$AB$31:$AB$34,"*Sep*",'Loan Entry'!$M$31:$M$34,'Loans to Cash Flows Wkst'!J$2)+SUMIFS('Loan Entry'!$V$47:$V$50,'Loan Entry'!$D$47:$D$50,$C$18,'Loan Entry'!$AB$47:$AB$50,"*Sep*",'Loan Entry'!$M$47:$M$50,'Loans to Cash Flows Wkst'!J$2) +SUMIFS('Loan Entry'!$V$55:$V$58,'Loan Entry'!$D$55:$D$58,$C$18,'Loan Entry'!$AB$55:$AB$58,"*Sep*",'Loan Entry'!$M$55:$M$58,'Loans to Cash Flows Wkst'!J$2)+SUMIFS('Loan Entry'!$V$39:$V$42,'Loan Entry'!$D$39:$D$42,$C$18,'Loan Entry'!$AB$39:$AB$42,"*Sep*",'Loan Entry'!$M$39:$M$42,'Loans to Cash Flows Wkst'!J$2)</f>
        <v>0</v>
      </c>
      <c r="K27" s="686">
        <f>SUMIFS('Loan Entry'!$V$15:$V$18,'Loan Entry'!$D$15:$D$18,$C$18,'Loan Entry'!$AB$15:$AB$18,"*Sep*",'Loan Entry'!$M$15:$M$18,'Loans to Cash Flows Wkst'!K$2)+SUMIFS('Loan Entry'!$V$23:$V$26,'Loan Entry'!$D$23:$D$26,$C$18,'Loan Entry'!$AB$23:$AB$26,"*Sep*",'Loan Entry'!$M$23:$M$26,'Loans to Cash Flows Wkst'!K$2)+SUMIFS('Loan Entry'!$V$31:$V$34,'Loan Entry'!$D$31:$D$34,$C$18,'Loan Entry'!$AB$31:$AB$34,"*Sep*",'Loan Entry'!$M$31:$M$34,'Loans to Cash Flows Wkst'!K$2)+SUMIFS('Loan Entry'!$V$47:$V$50,'Loan Entry'!$D$47:$D$50,$C$18,'Loan Entry'!$AB$47:$AB$50,"*Sep*",'Loan Entry'!$M$47:$M$50,'Loans to Cash Flows Wkst'!K$2) +SUMIFS('Loan Entry'!$V$55:$V$58,'Loan Entry'!$D$55:$D$58,$C$18,'Loan Entry'!$AB$55:$AB$58,"*Sep*",'Loan Entry'!$M$55:$M$58,'Loans to Cash Flows Wkst'!K$2)+SUMIFS('Loan Entry'!$V$39:$V$42,'Loan Entry'!$D$39:$D$42,$C$18,'Loan Entry'!$AB$39:$AB$42,"*Sep*",'Loan Entry'!$M$39:$M$42,'Loans to Cash Flows Wkst'!K$2)</f>
        <v>0</v>
      </c>
      <c r="M27" s="777" t="s">
        <v>11</v>
      </c>
      <c r="N27" s="686">
        <f>SUMIFS('Loan Entry'!$W$15:$W$18,'Loan Entry'!$D$15:$D$18,$C$18,'Loan Entry'!$AB$15:$AB$18,$C27,'Loan Entry'!$M$15:$M$18,'Loans to Cash Flows Wkst'!N$2)+SUMIFS('Loan Entry'!$W$23:$W$26,'Loan Entry'!$D$23:$D$26,$C$18,'Loan Entry'!$AB$23:$AB$26,$C27,'Loan Entry'!$M$23:$M$26,'Loans to Cash Flows Wkst'!N$2)+SUMIFS('Loan Entry'!$W$31:$W$34,'Loan Entry'!$D$31:$D$34,$C$18,'Loan Entry'!$AB$31:$AB$34,$C27,'Loan Entry'!$M$31:$M$34,'Loans to Cash Flows Wkst'!N$2)+SUMIFS('Loan Entry'!$W$47:$W$50,'Loan Entry'!$D$47:$D$50,$C$18,'Loan Entry'!$AB$47:$AB$50,$C27,'Loan Entry'!$M$47:$M$50,'Loans to Cash Flows Wkst'!N$2)+SUMIFS('Loan Entry'!$W$55:$W$58,'Loan Entry'!$D$55:$D$58,$C$18,'Loan Entry'!$AB$55:$AB$58,$C27,'Loan Entry'!$M$55:$M$58,'Loans to Cash Flows Wkst'!N$2)+SUMIFS('Loan Entry'!$W$39:$W$42,'Loan Entry'!$D$39:$D$42,$C$18,'Loan Entry'!$AB$39:$AB$42,$C27,'Loan Entry'!$M$39:$M$42,'Loans to Cash Flows Wkst'!N$2)</f>
        <v>0</v>
      </c>
      <c r="O27" s="686">
        <f>SUMIFS('Loan Entry'!$W$15:$W$18,'Loan Entry'!$D$15:$D$18,$C$18,'Loan Entry'!$AB$15:$AB$18,"*Sep*",'Loan Entry'!$M$15:$M$18,'Loans to Cash Flows Wkst'!O$2)+SUMIFS('Loan Entry'!$W$23:$W$26,'Loan Entry'!$D$23:$D$26,$C$18,'Loan Entry'!$AB$23:$AB$26,"*Sep*",'Loan Entry'!$M$23:$M$26,'Loans to Cash Flows Wkst'!O$2)+SUMIFS('Loan Entry'!$W$31:$W$34,'Loan Entry'!$D$31:$D$34,$C$18,'Loan Entry'!$AB$31:$AB$34,"*Sep*",'Loan Entry'!$M$31:$M$34,'Loans to Cash Flows Wkst'!O$2)+SUMIFS('Loan Entry'!$W$47:$W$50,'Loan Entry'!$D$47:$D$50,$C$18,'Loan Entry'!$AB$47:$AB$50,"*Sep*",'Loan Entry'!$M$47:$M$50,'Loans to Cash Flows Wkst'!O$2)+SUMIFS('Loan Entry'!$W$55:$W$58,'Loan Entry'!$D$55:$D$58,$C$18,'Loan Entry'!$AB$55:$AB$58,"*Sep*",'Loan Entry'!$M$55:$M$58,'Loans to Cash Flows Wkst'!O$2)+SUMIFS('Loan Entry'!$W$39:$W$42,'Loan Entry'!$D$39:$D$42,$C$18,'Loan Entry'!$AB$39:$AB$42,"*Sep*",'Loan Entry'!$M$39:$M$42,'Loans to Cash Flows Wkst'!O$2)</f>
        <v>0</v>
      </c>
      <c r="P27" s="686">
        <f>SUMIFS('Loan Entry'!$W$15:$W$18,'Loan Entry'!$D$15:$D$18,$C$18,'Loan Entry'!$AB$15:$AB$18,"*Sep*",'Loan Entry'!$M$15:$M$18,'Loans to Cash Flows Wkst'!P$2)+SUMIFS('Loan Entry'!$W$23:$W$26,'Loan Entry'!$D$23:$D$26,$C$18,'Loan Entry'!$AB$23:$AB$26,"*Sep*",'Loan Entry'!$M$23:$M$26,'Loans to Cash Flows Wkst'!P$2)+SUMIFS('Loan Entry'!$W$31:$W$34,'Loan Entry'!$D$31:$D$34,$C$18,'Loan Entry'!$AB$31:$AB$34,"*Sep*",'Loan Entry'!$M$31:$M$34,'Loans to Cash Flows Wkst'!P$2)+SUMIFS('Loan Entry'!$W$47:$W$50,'Loan Entry'!$D$47:$D$50,$C$18,'Loan Entry'!$AB$47:$AB$50,"*Sep*",'Loan Entry'!$M$47:$M$50,'Loans to Cash Flows Wkst'!P$2)+SUMIFS('Loan Entry'!$W$55:$W$58,'Loan Entry'!$D$55:$D$58,$C$18,'Loan Entry'!$AB$55:$AB$58,"*Sep*",'Loan Entry'!$M$55:$M$58,'Loans to Cash Flows Wkst'!P$2)+SUMIFS('Loan Entry'!$W$39:$W$42,'Loan Entry'!$D$39:$D$42,$C$18,'Loan Entry'!$AB$39:$AB$42,"*Sep*",'Loan Entry'!$M$39:$M$42,'Loans to Cash Flows Wkst'!P$2)</f>
        <v>0</v>
      </c>
      <c r="Q27" s="686">
        <f>SUMIFS('Loan Entry'!$W$15:$W$18,'Loan Entry'!$D$15:$D$18,$C$18,'Loan Entry'!$AB$15:$AB$18,"*Sep*",'Loan Entry'!$M$15:$M$18,'Loans to Cash Flows Wkst'!Q$2)+SUMIFS('Loan Entry'!$W$23:$W$26,'Loan Entry'!$D$23:$D$26,$C$18,'Loan Entry'!$AB$23:$AB$26,"*Sep*",'Loan Entry'!$M$23:$M$26,'Loans to Cash Flows Wkst'!Q$2)+SUMIFS('Loan Entry'!$W$31:$W$34,'Loan Entry'!$D$31:$D$34,$C$18,'Loan Entry'!$AB$31:$AB$34,"*Sep*",'Loan Entry'!$M$31:$M$34,'Loans to Cash Flows Wkst'!Q$2)+SUMIFS('Loan Entry'!$W$47:$W$50,'Loan Entry'!$D$47:$D$50,$C$18,'Loan Entry'!$AB$47:$AB$50,"*Sep*",'Loan Entry'!$M$47:$M$50,'Loans to Cash Flows Wkst'!Q$2)+SUMIFS('Loan Entry'!$W$55:$W$58,'Loan Entry'!$D$55:$D$58,$C$18,'Loan Entry'!$AB$55:$AB$58,"*Sep*",'Loan Entry'!$M$55:$M$58,'Loans to Cash Flows Wkst'!Q$2)+SUMIFS('Loan Entry'!$W$39:$W$42,'Loan Entry'!$D$39:$D$42,$C$18,'Loan Entry'!$AB$39:$AB$42,"*Sep*",'Loan Entry'!$M$39:$M$42,'Loans to Cash Flows Wkst'!Q$2)</f>
        <v>0</v>
      </c>
    </row>
    <row r="28" spans="2:17" x14ac:dyDescent="0.2">
      <c r="B28" s="774" t="s">
        <v>190</v>
      </c>
      <c r="C28" s="780" t="s">
        <v>12</v>
      </c>
      <c r="D28" s="687">
        <f>SUM('Loans to Cash Flows Wkst'!$H28:$K28)</f>
        <v>0</v>
      </c>
      <c r="E28" s="687">
        <f>SUM('Loans to Cash Flows Wkst'!$N28:$Q28)</f>
        <v>0</v>
      </c>
      <c r="G28" s="774" t="s">
        <v>12</v>
      </c>
      <c r="H28" s="776">
        <f>SUMIFS('Loan Entry'!$V$15:$V$18,'Loan Entry'!$D$15:$D$18,$C$18,'Loan Entry'!$AB$15:$AB$18,$C28,'Loan Entry'!$M$15:$M$18,'Loans to Cash Flows Wkst'!H$2)+SUMIFS('Loan Entry'!$V$23:$V$26,'Loan Entry'!$D$23:$D$26,$C$18,'Loan Entry'!$AB$23:$AB$26,$C28,'Loan Entry'!$M$23:$M$26,'Loans to Cash Flows Wkst'!H$2)+SUMIFS('Loan Entry'!$V$31:$V$34,'Loan Entry'!$D$31:$D$34,$C$18,'Loan Entry'!$AB$31:$AB$34,$C28,'Loan Entry'!$M$31:$M$34,'Loans to Cash Flows Wkst'!H$2)+SUMIFS('Loan Entry'!$V$47:$V$50,'Loan Entry'!$D$47:$D$50,$C$18,'Loan Entry'!$AB$47:$AB$50,$C28,'Loan Entry'!$M$47:$M$50,'Loans to Cash Flows Wkst'!H$2) +SUMIFS('Loan Entry'!$V$55:$V$58,'Loan Entry'!$D$55:$D$58,$C$18,'Loan Entry'!$AB$55:$AB$58,$C28,'Loan Entry'!$M$55:$M$58,'Loans to Cash Flows Wkst'!H$2)+SUMIFS('Loan Entry'!$V$39:$V$42,'Loan Entry'!$D$39:$D$42,$C$18,'Loan Entry'!$AB$39:$AB$42,$C28,'Loan Entry'!$M$39:$M$42,'Loans to Cash Flows Wkst'!H$2)</f>
        <v>0</v>
      </c>
      <c r="I28" s="687">
        <f>SUMIFS('Loan Entry'!$V$15:$V$18,'Loan Entry'!$D$15:$D$18,$C$18,'Loan Entry'!$AB$15:$AB$18,"*Oct*",'Loan Entry'!$M$15:$M$18,'Loans to Cash Flows Wkst'!I$2)+SUMIFS('Loan Entry'!$V$23:$V$26,'Loan Entry'!$D$23:$D$26,$C$18,'Loan Entry'!$AB$23:$AB$26,"*Oct*",'Loan Entry'!$M$23:$M$26,'Loans to Cash Flows Wkst'!I$2)+SUMIFS('Loan Entry'!$V$31:$V$34,'Loan Entry'!$D$31:$D$34,$C$18,'Loan Entry'!$AB$31:$AB$34,"*Oct*",'Loan Entry'!$M$31:$M$34,'Loans to Cash Flows Wkst'!I$2)+SUMIFS('Loan Entry'!$V$47:$V$50,'Loan Entry'!$D$47:$D$50,$C$18,'Loan Entry'!$AB$47:$AB$50,"*Oct*",'Loan Entry'!$M$47:$M$50,'Loans to Cash Flows Wkst'!I$2)+SUMIFS('Loan Entry'!$V$55:$V$58,'Loan Entry'!$D$55:$D$58,$C$18,'Loan Entry'!$AB$55:$AB$58,"*Oct*",'Loan Entry'!$M$55:$M$58,'Loans to Cash Flows Wkst'!I$2)+SUMIFS('Loan Entry'!$V$39:$V$42,'Loan Entry'!$D$39:$D$42,$C$18,'Loan Entry'!$AB$39:$AB$42,"*Oct*",'Loan Entry'!$M$39:$M$42,'Loans to Cash Flows Wkst'!I$2)</f>
        <v>0</v>
      </c>
      <c r="J28" s="687">
        <f>SUMIFS('Loan Entry'!$V$15:$V$18,'Loan Entry'!$D$15:$D$18,$C$18,'Loan Entry'!$AB$15:$AB$18,"*Oct*",'Loan Entry'!$M$15:$M$18,'Loans to Cash Flows Wkst'!J$2)+SUMIFS('Loan Entry'!$V$23:$V$26,'Loan Entry'!$D$23:$D$26,$C$18,'Loan Entry'!$AB$23:$AB$26,"*Oct*",'Loan Entry'!$M$23:$M$26,'Loans to Cash Flows Wkst'!J$2)+SUMIFS('Loan Entry'!$V$31:$V$34,'Loan Entry'!$D$31:$D$34,$C$18,'Loan Entry'!$AB$31:$AB$34,"*Oct*",'Loan Entry'!$M$31:$M$34,'Loans to Cash Flows Wkst'!J$2)+SUMIFS('Loan Entry'!$V$47:$V$50,'Loan Entry'!$D$47:$D$50,$C$18,'Loan Entry'!$AB$47:$AB$50,"*Oct*",'Loan Entry'!$M$47:$M$50,'Loans to Cash Flows Wkst'!J$2) +SUMIFS('Loan Entry'!$V$55:$V$58,'Loan Entry'!$D$55:$D$58,$C$18,'Loan Entry'!$AB$55:$AB$58,"*Oct*",'Loan Entry'!$M$55:$M$58,'Loans to Cash Flows Wkst'!J$2)+SUMIFS('Loan Entry'!$V$39:$V$42,'Loan Entry'!$D$39:$D$42,$C$18,'Loan Entry'!$AB$39:$AB$42,"*Oct*",'Loan Entry'!$M$39:$M$42,'Loans to Cash Flows Wkst'!J$2)</f>
        <v>0</v>
      </c>
      <c r="K28" s="687">
        <f>SUMIFS('Loan Entry'!$V$15:$V$18,'Loan Entry'!$D$15:$D$18,$C$18,'Loan Entry'!$AB$15:$AB$18,"*Oct*",'Loan Entry'!$M$15:$M$18,'Loans to Cash Flows Wkst'!K$2)+SUMIFS('Loan Entry'!$V$23:$V$26,'Loan Entry'!$D$23:$D$26,$C$18,'Loan Entry'!$AB$23:$AB$26,"*Oct*",'Loan Entry'!$M$23:$M$26,'Loans to Cash Flows Wkst'!K$2)+SUMIFS('Loan Entry'!$V$31:$V$34,'Loan Entry'!$D$31:$D$34,$C$18,'Loan Entry'!$AB$31:$AB$34,"*Oct*",'Loan Entry'!$M$31:$M$34,'Loans to Cash Flows Wkst'!K$2)+SUMIFS('Loan Entry'!$V$47:$V$50,'Loan Entry'!$D$47:$D$50,$C$18,'Loan Entry'!$AB$47:$AB$50,"*Oct*",'Loan Entry'!$M$47:$M$50,'Loans to Cash Flows Wkst'!K$2) +SUMIFS('Loan Entry'!$V$55:$V$58,'Loan Entry'!$D$55:$D$58,$C$18,'Loan Entry'!$AB$55:$AB$58,"*Oct*",'Loan Entry'!$M$55:$M$58,'Loans to Cash Flows Wkst'!K$2)+SUMIFS('Loan Entry'!$V$39:$V$42,'Loan Entry'!$D$39:$D$42,$C$18,'Loan Entry'!$AB$39:$AB$42,"*Oct*",'Loan Entry'!$M$39:$M$42,'Loans to Cash Flows Wkst'!K$2)</f>
        <v>0</v>
      </c>
      <c r="M28" s="774" t="s">
        <v>12</v>
      </c>
      <c r="N28" s="687">
        <f>SUMIFS('Loan Entry'!$W$15:$W$18,'Loan Entry'!$D$15:$D$18,$C$18,'Loan Entry'!$AB$15:$AB$18,$C28,'Loan Entry'!$M$15:$M$18,'Loans to Cash Flows Wkst'!N$2)+SUMIFS('Loan Entry'!$W$23:$W$26,'Loan Entry'!$D$23:$D$26,$C$18,'Loan Entry'!$AB$23:$AB$26,$C28,'Loan Entry'!$M$23:$M$26,'Loans to Cash Flows Wkst'!N$2)+SUMIFS('Loan Entry'!$W$31:$W$34,'Loan Entry'!$D$31:$D$34,$C$18,'Loan Entry'!$AB$31:$AB$34,$C28,'Loan Entry'!$M$31:$M$34,'Loans to Cash Flows Wkst'!N$2)+SUMIFS('Loan Entry'!$W$47:$W$50,'Loan Entry'!$D$47:$D$50,$C$18,'Loan Entry'!$AB$47:$AB$50,$C28,'Loan Entry'!$M$47:$M$50,'Loans to Cash Flows Wkst'!N$2)+SUMIFS('Loan Entry'!$W$55:$W$58,'Loan Entry'!$D$55:$D$58,$C$18,'Loan Entry'!$AB$55:$AB$58,$C28,'Loan Entry'!$M$55:$M$58,'Loans to Cash Flows Wkst'!N$2)+SUMIFS('Loan Entry'!$W$39:$W$42,'Loan Entry'!$D$39:$D$42,$C$18,'Loan Entry'!$AB$39:$AB$42,$C28,'Loan Entry'!$M$39:$M$42,'Loans to Cash Flows Wkst'!N$2)</f>
        <v>0</v>
      </c>
      <c r="O28" s="687">
        <f>SUMIFS('Loan Entry'!$W$15:$W$18,'Loan Entry'!$D$15:$D$18,$C$18,'Loan Entry'!$AB$15:$AB$18,"*Oct*",'Loan Entry'!$M$15:$M$18,'Loans to Cash Flows Wkst'!O$2)+SUMIFS('Loan Entry'!$W$23:$W$26,'Loan Entry'!$D$23:$D$26,$C$18,'Loan Entry'!$AB$23:$AB$26,"*Oct*",'Loan Entry'!$M$23:$M$26,'Loans to Cash Flows Wkst'!O$2)+SUMIFS('Loan Entry'!$W$31:$W$34,'Loan Entry'!$D$31:$D$34,$C$18,'Loan Entry'!$AB$31:$AB$34,"*Oct*",'Loan Entry'!$M$31:$M$34,'Loans to Cash Flows Wkst'!O$2)+SUMIFS('Loan Entry'!$W$47:$W$50,'Loan Entry'!$D$47:$D$50,$C$18,'Loan Entry'!$AB$47:$AB$50,"*Oct*",'Loan Entry'!$M$47:$M$50,'Loans to Cash Flows Wkst'!O$2)+SUMIFS('Loan Entry'!$W$55:$W$58,'Loan Entry'!$D$55:$D$58,$C$18,'Loan Entry'!$AB$55:$AB$58,"*Oct*",'Loan Entry'!$M$55:$M$58,'Loans to Cash Flows Wkst'!O$2)+SUMIFS('Loan Entry'!$W$39:$W$42,'Loan Entry'!$D$39:$D$42,$C$18,'Loan Entry'!$AB$39:$AB$42,"*Oct*",'Loan Entry'!$M$39:$M$42,'Loans to Cash Flows Wkst'!O$2)</f>
        <v>0</v>
      </c>
      <c r="P28" s="687">
        <f>SUMIFS('Loan Entry'!$W$15:$W$18,'Loan Entry'!$D$15:$D$18,$C$18,'Loan Entry'!$AB$15:$AB$18,"*Oct*",'Loan Entry'!$M$15:$M$18,'Loans to Cash Flows Wkst'!P$2)+SUMIFS('Loan Entry'!$W$23:$W$26,'Loan Entry'!$D$23:$D$26,$C$18,'Loan Entry'!$AB$23:$AB$26,"*Oct*",'Loan Entry'!$M$23:$M$26,'Loans to Cash Flows Wkst'!P$2)+SUMIFS('Loan Entry'!$W$31:$W$34,'Loan Entry'!$D$31:$D$34,$C$18,'Loan Entry'!$AB$31:$AB$34,"*Oct*",'Loan Entry'!$M$31:$M$34,'Loans to Cash Flows Wkst'!P$2)+SUMIFS('Loan Entry'!$W$47:$W$50,'Loan Entry'!$D$47:$D$50,$C$18,'Loan Entry'!$AB$47:$AB$50,"*Oct*",'Loan Entry'!$M$47:$M$50,'Loans to Cash Flows Wkst'!P$2)+SUMIFS('Loan Entry'!$W$55:$W$58,'Loan Entry'!$D$55:$D$58,$C$18,'Loan Entry'!$AB$55:$AB$58,"*Oct*",'Loan Entry'!$M$55:$M$58,'Loans to Cash Flows Wkst'!P$2)+SUMIFS('Loan Entry'!$W$39:$W$42,'Loan Entry'!$D$39:$D$42,$C$18,'Loan Entry'!$AB$39:$AB$42,"*Oct*",'Loan Entry'!$M$39:$M$42,'Loans to Cash Flows Wkst'!P$2)</f>
        <v>0</v>
      </c>
      <c r="Q28" s="687">
        <f>SUMIFS('Loan Entry'!$W$15:$W$18,'Loan Entry'!$D$15:$D$18,$C$18,'Loan Entry'!$AB$15:$AB$18,"*Oct*",'Loan Entry'!$M$15:$M$18,'Loans to Cash Flows Wkst'!Q$2)+SUMIFS('Loan Entry'!$W$23:$W$26,'Loan Entry'!$D$23:$D$26,$C$18,'Loan Entry'!$AB$23:$AB$26,"*Oct*",'Loan Entry'!$M$23:$M$26,'Loans to Cash Flows Wkst'!Q$2)+SUMIFS('Loan Entry'!$W$31:$W$34,'Loan Entry'!$D$31:$D$34,$C$18,'Loan Entry'!$AB$31:$AB$34,"*Oct*",'Loan Entry'!$M$31:$M$34,'Loans to Cash Flows Wkst'!Q$2)+SUMIFS('Loan Entry'!$W$47:$W$50,'Loan Entry'!$D$47:$D$50,$C$18,'Loan Entry'!$AB$47:$AB$50,"*Oct*",'Loan Entry'!$M$47:$M$50,'Loans to Cash Flows Wkst'!Q$2)+SUMIFS('Loan Entry'!$W$55:$W$58,'Loan Entry'!$D$55:$D$58,$C$18,'Loan Entry'!$AB$55:$AB$58,"*Oct*",'Loan Entry'!$M$55:$M$58,'Loans to Cash Flows Wkst'!Q$2)+SUMIFS('Loan Entry'!$W$39:$W$42,'Loan Entry'!$D$39:$D$42,$C$18,'Loan Entry'!$AB$39:$AB$42,"*Oct*",'Loan Entry'!$M$39:$M$42,'Loans to Cash Flows Wkst'!Q$2)</f>
        <v>0</v>
      </c>
    </row>
    <row r="29" spans="2:17" x14ac:dyDescent="0.2">
      <c r="B29" s="777" t="s">
        <v>191</v>
      </c>
      <c r="C29" s="778" t="s">
        <v>13</v>
      </c>
      <c r="D29" s="686">
        <f>SUM('Loans to Cash Flows Wkst'!$H29:$K29)</f>
        <v>0</v>
      </c>
      <c r="E29" s="686">
        <f>SUM('Loans to Cash Flows Wkst'!$N29:$Q29)</f>
        <v>0</v>
      </c>
      <c r="G29" s="777" t="s">
        <v>13</v>
      </c>
      <c r="H29" s="779">
        <f>SUMIFS('Loan Entry'!$V$15:$V$18,'Loan Entry'!$D$15:$D$18,$C$18,'Loan Entry'!$AB$15:$AB$18,$C29,'Loan Entry'!$M$15:$M$18,'Loans to Cash Flows Wkst'!H$2)+SUMIFS('Loan Entry'!$V$23:$V$26,'Loan Entry'!$D$23:$D$26,$C$18,'Loan Entry'!$AB$23:$AB$26,$C29,'Loan Entry'!$M$23:$M$26,'Loans to Cash Flows Wkst'!H$2)+SUMIFS('Loan Entry'!$V$31:$V$34,'Loan Entry'!$D$31:$D$34,$C$18,'Loan Entry'!$AB$31:$AB$34,$C29,'Loan Entry'!$M$31:$M$34,'Loans to Cash Flows Wkst'!H$2)+SUMIFS('Loan Entry'!$V$47:$V$50,'Loan Entry'!$D$47:$D$50,$C$18,'Loan Entry'!$AB$47:$AB$50,$C29,'Loan Entry'!$M$47:$M$50,'Loans to Cash Flows Wkst'!H$2) +SUMIFS('Loan Entry'!$V$55:$V$58,'Loan Entry'!$D$55:$D$58,$C$18,'Loan Entry'!$AB$55:$AB$58,$C29,'Loan Entry'!$M$55:$M$58,'Loans to Cash Flows Wkst'!H$2)+SUMIFS('Loan Entry'!$V$39:$V$42,'Loan Entry'!$D$39:$D$42,$C$18,'Loan Entry'!$AB$39:$AB$42,$C29,'Loan Entry'!$M$39:$M$42,'Loans to Cash Flows Wkst'!H$2)</f>
        <v>0</v>
      </c>
      <c r="I29" s="686">
        <f>SUMIFS('Loan Entry'!$V$15:$V$18,'Loan Entry'!$D$15:$D$18,$C$18,'Loan Entry'!$AB$15:$AB$18,"*Nov*",'Loan Entry'!$M$15:$M$18,'Loans to Cash Flows Wkst'!I$2)+SUMIFS('Loan Entry'!$V$23:$V$26,'Loan Entry'!$D$23:$D$26,$C$18,'Loan Entry'!$AB$23:$AB$26,"*Nov*",'Loan Entry'!$M$23:$M$26,'Loans to Cash Flows Wkst'!I$2)+SUMIFS('Loan Entry'!$V$31:$V$34,'Loan Entry'!$D$31:$D$34,$C$18,'Loan Entry'!$AB$31:$AB$34,"*Nov*",'Loan Entry'!$M$31:$M$34,'Loans to Cash Flows Wkst'!I$2)+SUMIFS('Loan Entry'!$V$47:$V$50,'Loan Entry'!$D$47:$D$50,$C$18,'Loan Entry'!$AB$47:$AB$50,"*Nov*",'Loan Entry'!$M$47:$M$50,'Loans to Cash Flows Wkst'!I$2)+SUMIFS('Loan Entry'!$V$55:$V$58,'Loan Entry'!$D$55:$D$58,$C$18,'Loan Entry'!$AB$55:$AB$58,"*Nov*",'Loan Entry'!$M$55:$M$58,'Loans to Cash Flows Wkst'!I$2)+SUMIFS('Loan Entry'!$V$39:$V$42,'Loan Entry'!$D$39:$D$42,$C$18,'Loan Entry'!$AB$39:$AB$42,"*Nov*",'Loan Entry'!$M$39:$M$42,'Loans to Cash Flows Wkst'!I$2)</f>
        <v>0</v>
      </c>
      <c r="J29" s="686">
        <f>SUMIFS('Loan Entry'!$V$15:$V$18,'Loan Entry'!$D$15:$D$18,$C$18,'Loan Entry'!$AB$15:$AB$18,"*Nov*",'Loan Entry'!$M$15:$M$18,'Loans to Cash Flows Wkst'!J$2)+SUMIFS('Loan Entry'!$V$23:$V$26,'Loan Entry'!$D$23:$D$26,$C$18,'Loan Entry'!$AB$23:$AB$26,"*Nov*",'Loan Entry'!$M$23:$M$26,'Loans to Cash Flows Wkst'!J$2)+SUMIFS('Loan Entry'!$V$31:$V$34,'Loan Entry'!$D$31:$D$34,$C$18,'Loan Entry'!$AB$31:$AB$34,"*Nov*",'Loan Entry'!$M$31:$M$34,'Loans to Cash Flows Wkst'!J$2)+SUMIFS('Loan Entry'!$V$47:$V$50,'Loan Entry'!$D$47:$D$50,$C$18,'Loan Entry'!$AB$47:$AB$50,"*Nov*",'Loan Entry'!$M$47:$M$50,'Loans to Cash Flows Wkst'!J$2) +SUMIFS('Loan Entry'!$V$55:$V$58,'Loan Entry'!$D$55:$D$58,$C$18,'Loan Entry'!$AB$55:$AB$58,"*Nov*",'Loan Entry'!$M$55:$M$58,'Loans to Cash Flows Wkst'!J$2)+SUMIFS('Loan Entry'!$V$39:$V$42,'Loan Entry'!$D$39:$D$42,$C$18,'Loan Entry'!$AB$39:$AB$42,"*Nov*",'Loan Entry'!$M$39:$M$42,'Loans to Cash Flows Wkst'!J$2)</f>
        <v>0</v>
      </c>
      <c r="K29" s="686">
        <f>SUMIFS('Loan Entry'!$V$15:$V$18,'Loan Entry'!$D$15:$D$18,$C$18,'Loan Entry'!$AB$15:$AB$18,"*Nov*",'Loan Entry'!$M$15:$M$18,'Loans to Cash Flows Wkst'!K$2)+SUMIFS('Loan Entry'!$V$23:$V$26,'Loan Entry'!$D$23:$D$26,$C$18,'Loan Entry'!$AB$23:$AB$26,"*Nov*",'Loan Entry'!$M$23:$M$26,'Loans to Cash Flows Wkst'!K$2)+SUMIFS('Loan Entry'!$V$31:$V$34,'Loan Entry'!$D$31:$D$34,$C$18,'Loan Entry'!$AB$31:$AB$34,"*Nov*",'Loan Entry'!$M$31:$M$34,'Loans to Cash Flows Wkst'!K$2)+SUMIFS('Loan Entry'!$V$47:$V$50,'Loan Entry'!$D$47:$D$50,$C$18,'Loan Entry'!$AB$47:$AB$50,"*Nov*",'Loan Entry'!$M$47:$M$50,'Loans to Cash Flows Wkst'!K$2) +SUMIFS('Loan Entry'!$V$55:$V$58,'Loan Entry'!$D$55:$D$58,$C$18,'Loan Entry'!$AB$55:$AB$58,"*Nov*",'Loan Entry'!$M$55:$M$58,'Loans to Cash Flows Wkst'!K$2)+SUMIFS('Loan Entry'!$V$39:$V$42,'Loan Entry'!$D$39:$D$42,$C$18,'Loan Entry'!$AB$39:$AB$42,"*Nov*",'Loan Entry'!$M$39:$M$42,'Loans to Cash Flows Wkst'!K$2)</f>
        <v>0</v>
      </c>
      <c r="M29" s="777" t="s">
        <v>13</v>
      </c>
      <c r="N29" s="686">
        <f>SUMIFS('Loan Entry'!$W$15:$W$18,'Loan Entry'!$D$15:$D$18,$C$18,'Loan Entry'!$AB$15:$AB$18,$C29,'Loan Entry'!$M$15:$M$18,'Loans to Cash Flows Wkst'!N$2)+SUMIFS('Loan Entry'!$W$23:$W$26,'Loan Entry'!$D$23:$D$26,$C$18,'Loan Entry'!$AB$23:$AB$26,$C29,'Loan Entry'!$M$23:$M$26,'Loans to Cash Flows Wkst'!N$2)+SUMIFS('Loan Entry'!$W$31:$W$34,'Loan Entry'!$D$31:$D$34,$C$18,'Loan Entry'!$AB$31:$AB$34,$C29,'Loan Entry'!$M$31:$M$34,'Loans to Cash Flows Wkst'!N$2)+SUMIFS('Loan Entry'!$W$47:$W$50,'Loan Entry'!$D$47:$D$50,$C$18,'Loan Entry'!$AB$47:$AB$50,$C29,'Loan Entry'!$M$47:$M$50,'Loans to Cash Flows Wkst'!N$2)+SUMIFS('Loan Entry'!$W$55:$W$58,'Loan Entry'!$D$55:$D$58,$C$18,'Loan Entry'!$AB$55:$AB$58,$C29,'Loan Entry'!$M$55:$M$58,'Loans to Cash Flows Wkst'!N$2)+SUMIFS('Loan Entry'!$W$39:$W$42,'Loan Entry'!$D$39:$D$42,$C$18,'Loan Entry'!$AB$39:$AB$42,$C29,'Loan Entry'!$M$39:$M$42,'Loans to Cash Flows Wkst'!N$2)</f>
        <v>0</v>
      </c>
      <c r="O29" s="686">
        <f>SUMIFS('Loan Entry'!$W$15:$W$18,'Loan Entry'!$D$15:$D$18,$C$18,'Loan Entry'!$AB$15:$AB$18,"*Nov*",'Loan Entry'!$M$15:$M$18,'Loans to Cash Flows Wkst'!O$2)+SUMIFS('Loan Entry'!$W$23:$W$26,'Loan Entry'!$D$23:$D$26,$C$18,'Loan Entry'!$AB$23:$AB$26,"*Nov*",'Loan Entry'!$M$23:$M$26,'Loans to Cash Flows Wkst'!O$2)+SUMIFS('Loan Entry'!$W$31:$W$34,'Loan Entry'!$D$31:$D$34,$C$18,'Loan Entry'!$AB$31:$AB$34,"*Nov*",'Loan Entry'!$M$31:$M$34,'Loans to Cash Flows Wkst'!O$2)+SUMIFS('Loan Entry'!$W$47:$W$50,'Loan Entry'!$D$47:$D$50,$C$18,'Loan Entry'!$AB$47:$AB$50,"*Nov*",'Loan Entry'!$M$47:$M$50,'Loans to Cash Flows Wkst'!O$2)+SUMIFS('Loan Entry'!$W$55:$W$58,'Loan Entry'!$D$55:$D$58,$C$18,'Loan Entry'!$AB$55:$AB$58,"*Nov*",'Loan Entry'!$M$55:$M$58,'Loans to Cash Flows Wkst'!O$2)+SUMIFS('Loan Entry'!$W$39:$W$42,'Loan Entry'!$D$39:$D$42,$C$18,'Loan Entry'!$AB$39:$AB$42,"*Nov*",'Loan Entry'!$M$39:$M$42,'Loans to Cash Flows Wkst'!O$2)</f>
        <v>0</v>
      </c>
      <c r="P29" s="686">
        <f>SUMIFS('Loan Entry'!$W$15:$W$18,'Loan Entry'!$D$15:$D$18,$C$18,'Loan Entry'!$AB$15:$AB$18,"*Nov*",'Loan Entry'!$M$15:$M$18,'Loans to Cash Flows Wkst'!P$2)+SUMIFS('Loan Entry'!$W$23:$W$26,'Loan Entry'!$D$23:$D$26,$C$18,'Loan Entry'!$AB$23:$AB$26,"*Nov*",'Loan Entry'!$M$23:$M$26,'Loans to Cash Flows Wkst'!P$2)+SUMIFS('Loan Entry'!$W$31:$W$34,'Loan Entry'!$D$31:$D$34,$C$18,'Loan Entry'!$AB$31:$AB$34,"*Nov*",'Loan Entry'!$M$31:$M$34,'Loans to Cash Flows Wkst'!P$2)+SUMIFS('Loan Entry'!$W$47:$W$50,'Loan Entry'!$D$47:$D$50,$C$18,'Loan Entry'!$AB$47:$AB$50,"*Nov*",'Loan Entry'!$M$47:$M$50,'Loans to Cash Flows Wkst'!P$2)+SUMIFS('Loan Entry'!$W$55:$W$58,'Loan Entry'!$D$55:$D$58,$C$18,'Loan Entry'!$AB$55:$AB$58,"*Nov*",'Loan Entry'!$M$55:$M$58,'Loans to Cash Flows Wkst'!P$2)+SUMIFS('Loan Entry'!$W$39:$W$42,'Loan Entry'!$D$39:$D$42,$C$18,'Loan Entry'!$AB$39:$AB$42,"*Nov*",'Loan Entry'!$M$39:$M$42,'Loans to Cash Flows Wkst'!P$2)</f>
        <v>0</v>
      </c>
      <c r="Q29" s="686">
        <f>SUMIFS('Loan Entry'!$W$15:$W$18,'Loan Entry'!$D$15:$D$18,$C$18,'Loan Entry'!$AB$15:$AB$18,"*Nov*",'Loan Entry'!$M$15:$M$18,'Loans to Cash Flows Wkst'!Q$2)+SUMIFS('Loan Entry'!$W$23:$W$26,'Loan Entry'!$D$23:$D$26,$C$18,'Loan Entry'!$AB$23:$AB$26,"*Nov*",'Loan Entry'!$M$23:$M$26,'Loans to Cash Flows Wkst'!Q$2)+SUMIFS('Loan Entry'!$W$31:$W$34,'Loan Entry'!$D$31:$D$34,$C$18,'Loan Entry'!$AB$31:$AB$34,"*Nov*",'Loan Entry'!$M$31:$M$34,'Loans to Cash Flows Wkst'!Q$2)+SUMIFS('Loan Entry'!$W$47:$W$50,'Loan Entry'!$D$47:$D$50,$C$18,'Loan Entry'!$AB$47:$AB$50,"*Nov*",'Loan Entry'!$M$47:$M$50,'Loans to Cash Flows Wkst'!Q$2)+SUMIFS('Loan Entry'!$W$55:$W$58,'Loan Entry'!$D$55:$D$58,$C$18,'Loan Entry'!$AB$55:$AB$58,"*Nov*",'Loan Entry'!$M$55:$M$58,'Loans to Cash Flows Wkst'!Q$2)+SUMIFS('Loan Entry'!$W$39:$W$42,'Loan Entry'!$D$39:$D$42,$C$18,'Loan Entry'!$AB$39:$AB$42,"*Nov*",'Loan Entry'!$M$39:$M$42,'Loans to Cash Flows Wkst'!Q$2)</f>
        <v>0</v>
      </c>
    </row>
    <row r="30" spans="2:17" ht="13.5" thickBot="1" x14ac:dyDescent="0.25">
      <c r="B30" s="774" t="s">
        <v>192</v>
      </c>
      <c r="C30" s="780" t="s">
        <v>14</v>
      </c>
      <c r="D30" s="687">
        <f>SUM('Loans to Cash Flows Wkst'!$H30:$K30)</f>
        <v>0</v>
      </c>
      <c r="E30" s="687">
        <f>SUM('Loans to Cash Flows Wkst'!$N30:$Q30)</f>
        <v>0</v>
      </c>
      <c r="G30" s="774" t="s">
        <v>14</v>
      </c>
      <c r="H30" s="776">
        <f>SUMIFS('Loan Entry'!$V$15:$V$18,'Loan Entry'!$D$15:$D$18,$C$18,'Loan Entry'!$AB$15:$AB$18,$C30,'Loan Entry'!$M$15:$M$18,'Loans to Cash Flows Wkst'!H$2)+SUMIFS('Loan Entry'!$V$23:$V$26,'Loan Entry'!$D$23:$D$26,$C$18,'Loan Entry'!$AB$23:$AB$26,$C30,'Loan Entry'!$M$23:$M$26,'Loans to Cash Flows Wkst'!H$2)+SUMIFS('Loan Entry'!$V$31:$V$34,'Loan Entry'!$D$31:$D$34,$C$18,'Loan Entry'!$AB$31:$AB$34,$C30,'Loan Entry'!$M$31:$M$34,'Loans to Cash Flows Wkst'!H$2)+SUMIFS('Loan Entry'!$V$47:$V$50,'Loan Entry'!$D$47:$D$50,$C$18,'Loan Entry'!$AB$47:$AB$50,$C30,'Loan Entry'!$M$47:$M$50,'Loans to Cash Flows Wkst'!H$2) +SUMIFS('Loan Entry'!$V$55:$V$58,'Loan Entry'!$D$55:$D$58,$C$18,'Loan Entry'!$AB$55:$AB$58,$C30,'Loan Entry'!$M$55:$M$58,'Loans to Cash Flows Wkst'!H$2)+SUMIFS('Loan Entry'!$V$39:$V$42,'Loan Entry'!$D$39:$D$42,$C$18,'Loan Entry'!$AB$39:$AB$42,$C30,'Loan Entry'!$M$39:$M$42,'Loans to Cash Flows Wkst'!H$2)</f>
        <v>0</v>
      </c>
      <c r="I30" s="687">
        <f>SUMIFS('Loan Entry'!$V$15:$V$18,'Loan Entry'!$D$15:$D$18,$C$18,'Loan Entry'!$AB$15:$AB$18,"*Dec*",'Loan Entry'!$M$15:$M$18,'Loans to Cash Flows Wkst'!I$2)+SUMIFS('Loan Entry'!$V$23:$V$26,'Loan Entry'!$D$23:$D$26,$C$18,'Loan Entry'!$AB$23:$AB$26,"*Dec*",'Loan Entry'!$M$23:$M$26,'Loans to Cash Flows Wkst'!I$2)+SUMIFS('Loan Entry'!$V$31:$V$34,'Loan Entry'!$D$31:$D$34,$C$18,'Loan Entry'!$AB$31:$AB$34,"*Dec*",'Loan Entry'!$M$31:$M$34,'Loans to Cash Flows Wkst'!I$2)+SUMIFS('Loan Entry'!$V$47:$V$50,'Loan Entry'!$D$47:$D$50,$C$18,'Loan Entry'!$AB$47:$AB$50,"*Dec*",'Loan Entry'!$M$47:$M$50,'Loans to Cash Flows Wkst'!I$2)+SUMIFS('Loan Entry'!$V$55:$V$58,'Loan Entry'!$D$55:$D$58,$C$18,'Loan Entry'!$AB$55:$AB$58,"*Dec*",'Loan Entry'!$M$55:$M$58,'Loans to Cash Flows Wkst'!I$2)+SUMIFS('Loan Entry'!$V$39:$V$42,'Loan Entry'!$D$39:$D$42,$C$18,'Loan Entry'!$AB$39:$AB$42,"*Dec*",'Loan Entry'!$M$39:$M$42,'Loans to Cash Flows Wkst'!I$2)</f>
        <v>0</v>
      </c>
      <c r="J30" s="687">
        <f>SUMIFS('Loan Entry'!$V$15:$V$18,'Loan Entry'!$D$15:$D$18,$C$18,'Loan Entry'!$AB$15:$AB$18,"*Dec*",'Loan Entry'!$M$15:$M$18,'Loans to Cash Flows Wkst'!J$2)+SUMIFS('Loan Entry'!$V$23:$V$26,'Loan Entry'!$D$23:$D$26,$C$18,'Loan Entry'!$AB$23:$AB$26,"*Dec*",'Loan Entry'!$M$23:$M$26,'Loans to Cash Flows Wkst'!J$2)+SUMIFS('Loan Entry'!$V$31:$V$34,'Loan Entry'!$D$31:$D$34,$C$18,'Loan Entry'!$AB$31:$AB$34,"*Dec*",'Loan Entry'!$M$31:$M$34,'Loans to Cash Flows Wkst'!J$2)+SUMIFS('Loan Entry'!$V$47:$V$50,'Loan Entry'!$D$47:$D$50,$C$18,'Loan Entry'!$AB$47:$AB$50,"*Dec*",'Loan Entry'!$M$47:$M$50,'Loans to Cash Flows Wkst'!J$2) +SUMIFS('Loan Entry'!$V$55:$V$58,'Loan Entry'!$D$55:$D$58,$C$18,'Loan Entry'!$AB$55:$AB$58,"*Dec*",'Loan Entry'!$M$55:$M$58,'Loans to Cash Flows Wkst'!J$2)+SUMIFS('Loan Entry'!$V$39:$V$42,'Loan Entry'!$D$39:$D$42,$C$18,'Loan Entry'!$AB$39:$AB$42,"*Dec*",'Loan Entry'!$M$39:$M$42,'Loans to Cash Flows Wkst'!J$2)</f>
        <v>0</v>
      </c>
      <c r="K30" s="687">
        <f>SUMIFS('Loan Entry'!$V$15:$V$18,'Loan Entry'!$D$15:$D$18,$C$18,'Loan Entry'!$AB$15:$AB$18,"*Dec*",'Loan Entry'!$M$15:$M$18,'Loans to Cash Flows Wkst'!K$2)+SUMIFS('Loan Entry'!$V$23:$V$26,'Loan Entry'!$D$23:$D$26,$C$18,'Loan Entry'!$AB$23:$AB$26,"*Dec*",'Loan Entry'!$M$23:$M$26,'Loans to Cash Flows Wkst'!K$2)+SUMIFS('Loan Entry'!$V$31:$V$34,'Loan Entry'!$D$31:$D$34,$C$18,'Loan Entry'!$AB$31:$AB$34,"*Dec*",'Loan Entry'!$M$31:$M$34,'Loans to Cash Flows Wkst'!K$2)+SUMIFS('Loan Entry'!$V$47:$V$50,'Loan Entry'!$D$47:$D$50,$C$18,'Loan Entry'!$AB$47:$AB$50,"*Dec*",'Loan Entry'!$M$47:$M$50,'Loans to Cash Flows Wkst'!K$2) +SUMIFS('Loan Entry'!$V$55:$V$58,'Loan Entry'!$D$55:$D$58,$C$18,'Loan Entry'!$AB$55:$AB$58,"*Dec*",'Loan Entry'!$M$55:$M$58,'Loans to Cash Flows Wkst'!K$2)+SUMIFS('Loan Entry'!$V$39:$V$42,'Loan Entry'!$D$39:$D$42,$C$18,'Loan Entry'!$AB$39:$AB$42,"*Dec*",'Loan Entry'!$M$39:$M$42,'Loans to Cash Flows Wkst'!K$2)</f>
        <v>0</v>
      </c>
      <c r="M30" s="774" t="s">
        <v>14</v>
      </c>
      <c r="N30" s="687">
        <f>SUMIFS('Loan Entry'!$W$15:$W$18,'Loan Entry'!$D$15:$D$18,$C$18,'Loan Entry'!$AB$15:$AB$18,$C30,'Loan Entry'!$M$15:$M$18,'Loans to Cash Flows Wkst'!N$2)+SUMIFS('Loan Entry'!$W$23:$W$26,'Loan Entry'!$D$23:$D$26,$C$18,'Loan Entry'!$AB$23:$AB$26,$C30,'Loan Entry'!$M$23:$M$26,'Loans to Cash Flows Wkst'!N$2)+SUMIFS('Loan Entry'!$W$31:$W$34,'Loan Entry'!$D$31:$D$34,$C$18,'Loan Entry'!$AB$31:$AB$34,$C30,'Loan Entry'!$M$31:$M$34,'Loans to Cash Flows Wkst'!N$2)+SUMIFS('Loan Entry'!$W$47:$W$50,'Loan Entry'!$D$47:$D$50,$C$18,'Loan Entry'!$AB$47:$AB$50,$C30,'Loan Entry'!$M$47:$M$50,'Loans to Cash Flows Wkst'!N$2)+SUMIFS('Loan Entry'!$W$55:$W$58,'Loan Entry'!$D$55:$D$58,$C$18,'Loan Entry'!$AB$55:$AB$58,$C30,'Loan Entry'!$M$55:$M$58,'Loans to Cash Flows Wkst'!N$2)+SUMIFS('Loan Entry'!$W$39:$W$42,'Loan Entry'!$D$39:$D$42,$C$18,'Loan Entry'!$AB$39:$AB$42,$C30,'Loan Entry'!$M$39:$M$42,'Loans to Cash Flows Wkst'!N$2)</f>
        <v>0</v>
      </c>
      <c r="O30" s="687">
        <f>SUMIFS('Loan Entry'!$W$15:$W$18,'Loan Entry'!$D$15:$D$18,$C$18,'Loan Entry'!$AB$15:$AB$18,"*Dec*",'Loan Entry'!$M$15:$M$18,'Loans to Cash Flows Wkst'!O$2)+SUMIFS('Loan Entry'!$W$23:$W$26,'Loan Entry'!$D$23:$D$26,$C$18,'Loan Entry'!$AB$23:$AB$26,"*Dec*",'Loan Entry'!$M$23:$M$26,'Loans to Cash Flows Wkst'!O$2)+SUMIFS('Loan Entry'!$W$31:$W$34,'Loan Entry'!$D$31:$D$34,$C$18,'Loan Entry'!$AB$31:$AB$34,"*Dec*",'Loan Entry'!$M$31:$M$34,'Loans to Cash Flows Wkst'!O$2)+SUMIFS('Loan Entry'!$W$47:$W$50,'Loan Entry'!$D$47:$D$50,$C$18,'Loan Entry'!$AB$47:$AB$50,"*Dec*",'Loan Entry'!$M$47:$M$50,'Loans to Cash Flows Wkst'!O$2)+SUMIFS('Loan Entry'!$W$55:$W$58,'Loan Entry'!$D$55:$D$58,$C$18,'Loan Entry'!$AB$55:$AB$58,"*Dec*",'Loan Entry'!$M$55:$M$58,'Loans to Cash Flows Wkst'!O$2)+SUMIFS('Loan Entry'!$W$39:$W$42,'Loan Entry'!$D$39:$D$42,$C$18,'Loan Entry'!$AB$39:$AB$42,"*Dec*",'Loan Entry'!$M$39:$M$42,'Loans to Cash Flows Wkst'!O$2)</f>
        <v>0</v>
      </c>
      <c r="P30" s="687">
        <f>SUMIFS('Loan Entry'!$W$15:$W$18,'Loan Entry'!$D$15:$D$18,$C$18,'Loan Entry'!$AB$15:$AB$18,"*Dec*",'Loan Entry'!$M$15:$M$18,'Loans to Cash Flows Wkst'!P$2)+SUMIFS('Loan Entry'!$W$23:$W$26,'Loan Entry'!$D$23:$D$26,$C$18,'Loan Entry'!$AB$23:$AB$26,"*Dec*",'Loan Entry'!$M$23:$M$26,'Loans to Cash Flows Wkst'!P$2)+SUMIFS('Loan Entry'!$W$31:$W$34,'Loan Entry'!$D$31:$D$34,$C$18,'Loan Entry'!$AB$31:$AB$34,"*Dec*",'Loan Entry'!$M$31:$M$34,'Loans to Cash Flows Wkst'!P$2)+SUMIFS('Loan Entry'!$W$47:$W$50,'Loan Entry'!$D$47:$D$50,$C$18,'Loan Entry'!$AB$47:$AB$50,"*Dec*",'Loan Entry'!$M$47:$M$50,'Loans to Cash Flows Wkst'!P$2)+SUMIFS('Loan Entry'!$W$55:$W$58,'Loan Entry'!$D$55:$D$58,$C$18,'Loan Entry'!$AB$55:$AB$58,"*Dec*",'Loan Entry'!$M$55:$M$58,'Loans to Cash Flows Wkst'!P$2)+SUMIFS('Loan Entry'!$W$39:$W$42,'Loan Entry'!$D$39:$D$42,$C$18,'Loan Entry'!$AB$39:$AB$42,"*Dec*",'Loan Entry'!$M$39:$M$42,'Loans to Cash Flows Wkst'!P$2)</f>
        <v>0</v>
      </c>
      <c r="Q30" s="687">
        <f>SUMIFS('Loan Entry'!$W$15:$W$18,'Loan Entry'!$D$15:$D$18,$C$18,'Loan Entry'!$AB$15:$AB$18,"*Dec*",'Loan Entry'!$M$15:$M$18,'Loans to Cash Flows Wkst'!Q$2)+SUMIFS('Loan Entry'!$W$23:$W$26,'Loan Entry'!$D$23:$D$26,$C$18,'Loan Entry'!$AB$23:$AB$26,"*Dec*",'Loan Entry'!$M$23:$M$26,'Loans to Cash Flows Wkst'!Q$2)+SUMIFS('Loan Entry'!$W$31:$W$34,'Loan Entry'!$D$31:$D$34,$C$18,'Loan Entry'!$AB$31:$AB$34,"*Dec*",'Loan Entry'!$M$31:$M$34,'Loans to Cash Flows Wkst'!Q$2)+SUMIFS('Loan Entry'!$W$47:$W$50,'Loan Entry'!$D$47:$D$50,$C$18,'Loan Entry'!$AB$47:$AB$50,"*Dec*",'Loan Entry'!$M$47:$M$50,'Loans to Cash Flows Wkst'!Q$2)+SUMIFS('Loan Entry'!$W$55:$W$58,'Loan Entry'!$D$55:$D$58,$C$18,'Loan Entry'!$AB$55:$AB$58,"*Dec*",'Loan Entry'!$M$55:$M$58,'Loans to Cash Flows Wkst'!Q$2)+SUMIFS('Loan Entry'!$W$39:$W$42,'Loan Entry'!$D$39:$D$42,$C$18,'Loan Entry'!$AB$39:$AB$42,"*Dec*",'Loan Entry'!$M$39:$M$42,'Loans to Cash Flows Wkst'!Q$2)</f>
        <v>0</v>
      </c>
    </row>
    <row r="31" spans="2:17" ht="13.5" thickTop="1" x14ac:dyDescent="0.2">
      <c r="B31" s="781"/>
      <c r="C31" s="782"/>
      <c r="D31" s="783">
        <f>SUM('Loans to Cash Flows Wkst'!$D$19:$D$30)</f>
        <v>0</v>
      </c>
      <c r="E31" s="769">
        <f>SUM('Loans to Cash Flows Wkst'!$E$19:$E$30)</f>
        <v>0</v>
      </c>
      <c r="G31" s="786"/>
      <c r="H31" s="769">
        <f>SUM('Loans to Cash Flows Wkst'!$H$19:$H$30)</f>
        <v>0</v>
      </c>
      <c r="I31" s="769">
        <f>SUM('Loans to Cash Flows Wkst'!$I$19:$I$30)</f>
        <v>0</v>
      </c>
      <c r="J31" s="769">
        <f>SUM('Loans to Cash Flows Wkst'!$J$19:$J$30)</f>
        <v>0</v>
      </c>
      <c r="K31" s="769">
        <f>SUM('Loans to Cash Flows Wkst'!$K$19:$K$30)</f>
        <v>0</v>
      </c>
      <c r="M31" s="786"/>
      <c r="N31" s="769">
        <f>SUM('Loans to Cash Flows Wkst'!$N$19:$N$30)</f>
        <v>0</v>
      </c>
      <c r="O31" s="769">
        <f>SUM('Loans to Cash Flows Wkst'!$O$19:$O$30)</f>
        <v>0</v>
      </c>
      <c r="P31" s="769">
        <f>SUM('Loans to Cash Flows Wkst'!$P$19:$P$30)</f>
        <v>0</v>
      </c>
      <c r="Q31" s="769">
        <f>SUM('Loans to Cash Flows Wkst'!$Q$19:$Q$30)</f>
        <v>0</v>
      </c>
    </row>
    <row r="34" spans="2:17" ht="13.5" thickBot="1" x14ac:dyDescent="0.25">
      <c r="B34" s="407" t="s">
        <v>125</v>
      </c>
      <c r="C34" s="408" t="s">
        <v>174</v>
      </c>
      <c r="D34" s="408" t="s">
        <v>175</v>
      </c>
      <c r="E34" s="57"/>
      <c r="G34" s="407" t="s">
        <v>196</v>
      </c>
      <c r="H34" s="408" t="s">
        <v>104</v>
      </c>
      <c r="I34" s="408" t="s">
        <v>102</v>
      </c>
      <c r="J34" s="408" t="s">
        <v>100</v>
      </c>
      <c r="K34" s="408" t="s">
        <v>99</v>
      </c>
      <c r="M34" s="407" t="s">
        <v>196</v>
      </c>
      <c r="N34" s="690" t="s">
        <v>104</v>
      </c>
      <c r="O34" s="690" t="s">
        <v>102</v>
      </c>
      <c r="P34" s="690" t="s">
        <v>100</v>
      </c>
      <c r="Q34" s="690" t="s">
        <v>99</v>
      </c>
    </row>
    <row r="35" spans="2:17" ht="13.5" thickTop="1" x14ac:dyDescent="0.2">
      <c r="B35" s="771" t="s">
        <v>182</v>
      </c>
      <c r="C35" s="787" t="s">
        <v>4</v>
      </c>
      <c r="D35" s="693">
        <f>SUM('Loans to Cash Flows Wkst'!$H35:$K35,'Loans to Cash Flows Wkst'!$N35:$Q35)</f>
        <v>0</v>
      </c>
      <c r="G35" s="784" t="s">
        <v>4</v>
      </c>
      <c r="H35" s="693">
        <f>SUMIFS('Loan Entry'!$V$63:$V$66,'Loan Entry'!$D$63:$D$66,$C$34,'Loan Entry'!$AB$63:$AB$66,$C35,'Loan Entry'!$M$63:$M$66,'Loans to Cash Flows Wkst'!H$2)</f>
        <v>0</v>
      </c>
      <c r="I35" s="693">
        <f>SUMIFS('Loan Entry'!$V$63:$V$66,'Loan Entry'!$D$63:$D$66,$C$34,'Loan Entry'!$AB$63:$AB$66,"*Jan*",'Loan Entry'!$M$63:$M$66,'Loans to Cash Flows Wkst'!I$2)</f>
        <v>0</v>
      </c>
      <c r="J35" s="693">
        <f>SUMIFS('Loan Entry'!$V$63:$V$66,'Loan Entry'!$D$63:$D$66,$C$34,'Loan Entry'!$AB$63:$AB$66,"*Jan*",'Loan Entry'!$M$63:$M$66,'Loans to Cash Flows Wkst'!J$2)</f>
        <v>0</v>
      </c>
      <c r="K35" s="693">
        <f>SUMIFS('Loan Entry'!$V$63:$V$66,'Loan Entry'!$D$63:$D$66,$C$34,'Loan Entry'!$AB$63:$AB$66,"*Jan*",'Loan Entry'!$M$63:$M$66,'Loans to Cash Flows Wkst'!K$2)</f>
        <v>0</v>
      </c>
      <c r="M35" s="784" t="s">
        <v>4</v>
      </c>
      <c r="N35" s="693">
        <f>SUMIFS('Loan Entry'!$W$63:$W$66,'Loan Entry'!$D$63:$D$66,$C$34,'Loan Entry'!$AB$63:$AB$66,$C35,'Loan Entry'!$M$63:$M$66,'Loans to Cash Flows Wkst'!N$2)</f>
        <v>0</v>
      </c>
      <c r="O35" s="693">
        <f>SUMIFS('Loan Entry'!$W$63:$W$66,'Loan Entry'!$D$63:$D$66,$C$34,'Loan Entry'!$AB$63:$AB$66,"*Jan*",'Loan Entry'!$M$63:$M$66,'Loans to Cash Flows Wkst'!O$2)</f>
        <v>0</v>
      </c>
      <c r="P35" s="693">
        <f>SUMIFS('Loan Entry'!$W$63:$W$66,'Loan Entry'!$D$63:$D$66,$C$34,'Loan Entry'!$AB$63:$AB$66,"*Jan*",'Loan Entry'!$M$63:$M$66,'Loans to Cash Flows Wkst'!P$2)</f>
        <v>0</v>
      </c>
      <c r="Q35" s="693">
        <f>SUMIFS('Loan Entry'!$W$63:$W$66,'Loan Entry'!$D$63:$D$66,$C$34,'Loan Entry'!$AB$63:$AB$66,"*Jan*",'Loan Entry'!$M$63:$M$66,'Loans to Cash Flows Wkst'!Q$2)</f>
        <v>0</v>
      </c>
    </row>
    <row r="36" spans="2:17" x14ac:dyDescent="0.2">
      <c r="B36" s="774" t="s">
        <v>183</v>
      </c>
      <c r="C36" s="788" t="s">
        <v>5</v>
      </c>
      <c r="D36" s="687">
        <f>SUM('Loans to Cash Flows Wkst'!$H36:$K36,'Loans to Cash Flows Wkst'!$N36:$Q36)</f>
        <v>0</v>
      </c>
      <c r="G36" s="785" t="s">
        <v>5</v>
      </c>
      <c r="H36" s="687">
        <f>SUMIFS('Loan Entry'!$V$63:$V$66,'Loan Entry'!$D$63:$D$66,$C$34,'Loan Entry'!$AB$63:$AB$66,$C36,'Loan Entry'!$M$63:$M$66,'Loans to Cash Flows Wkst'!H$2)</f>
        <v>0</v>
      </c>
      <c r="I36" s="687">
        <f>SUMIFS('Loan Entry'!$V$63:$V$66,'Loan Entry'!$D$63:$D$66,$C$34,'Loan Entry'!$AB$63:$AB$66,"*Feb*",'Loan Entry'!$M$63:$M$66,'Loans to Cash Flows Wkst'!I$2)</f>
        <v>0</v>
      </c>
      <c r="J36" s="687">
        <f>SUMIFS('Loan Entry'!$V$63:$V$66,'Loan Entry'!$D$63:$D$66,$C$34,'Loan Entry'!$AB$63:$AB$66,"*Feb*",'Loan Entry'!$M$63:$M$66,'Loans to Cash Flows Wkst'!J$2)</f>
        <v>0</v>
      </c>
      <c r="K36" s="687">
        <f>SUMIFS('Loan Entry'!$V$63:$V$66,'Loan Entry'!$D$63:$D$66,$C$34,'Loan Entry'!$AB$63:$AB$66,"*Feb*",'Loan Entry'!$M$63:$M$66,'Loans to Cash Flows Wkst'!K$2)</f>
        <v>0</v>
      </c>
      <c r="M36" s="785" t="s">
        <v>5</v>
      </c>
      <c r="N36" s="687">
        <f>SUMIFS('Loan Entry'!$W$63:$W$66,'Loan Entry'!$D$63:$D$66,$C$34,'Loan Entry'!$AB$63:$AB$66,$C36,'Loan Entry'!$M$63:$M$66,'Loans to Cash Flows Wkst'!N$2)</f>
        <v>0</v>
      </c>
      <c r="O36" s="687">
        <f>SUMIFS('Loan Entry'!$W$63:$W$66,'Loan Entry'!$D$63:$D$66,$C$34,'Loan Entry'!$AB$63:$AB$66,"*Feb*",'Loan Entry'!$M$63:$M$66,'Loans to Cash Flows Wkst'!O$2)</f>
        <v>0</v>
      </c>
      <c r="P36" s="687">
        <f>SUMIFS('Loan Entry'!$W$63:$W$66,'Loan Entry'!$D$63:$D$66,$C$34,'Loan Entry'!$AB$63:$AB$66,"*Feb*",'Loan Entry'!$M$63:$M$66,'Loans to Cash Flows Wkst'!P$2)</f>
        <v>0</v>
      </c>
      <c r="Q36" s="687">
        <f>SUMIFS('Loan Entry'!$W$63:$W$66,'Loan Entry'!$D$63:$D$66,$C$34,'Loan Entry'!$AB$63:$AB$66,"*Feb*",'Loan Entry'!$M$63:$M$66,'Loans to Cash Flows Wkst'!Q$2)</f>
        <v>0</v>
      </c>
    </row>
    <row r="37" spans="2:17" x14ac:dyDescent="0.2">
      <c r="B37" s="777" t="s">
        <v>184</v>
      </c>
      <c r="C37" s="789" t="s">
        <v>6</v>
      </c>
      <c r="D37" s="686">
        <f>SUM('Loans to Cash Flows Wkst'!$H37:$K37,'Loans to Cash Flows Wkst'!$N37:$Q37)</f>
        <v>0</v>
      </c>
      <c r="G37" s="777" t="s">
        <v>6</v>
      </c>
      <c r="H37" s="686">
        <f>SUMIFS('Loan Entry'!$V$63:$V$66,'Loan Entry'!$D$63:$D$66,$C$34,'Loan Entry'!$AB$63:$AB$66,$C37,'Loan Entry'!$M$63:$M$66,'Loans to Cash Flows Wkst'!H$2)</f>
        <v>0</v>
      </c>
      <c r="I37" s="686">
        <f>SUMIFS('Loan Entry'!$V$63:$V$66,'Loan Entry'!$D$63:$D$66,$C$34,'Loan Entry'!$AB$63:$AB$66,"*Mar*",'Loan Entry'!$M$63:$M$66,'Loans to Cash Flows Wkst'!I$2)</f>
        <v>0</v>
      </c>
      <c r="J37" s="686">
        <f>SUMIFS('Loan Entry'!$V$63:$V$66,'Loan Entry'!$D$63:$D$66,$C$34,'Loan Entry'!$AB$63:$AB$66,"*Mar*",'Loan Entry'!$M$63:$M$66,'Loans to Cash Flows Wkst'!J$2)</f>
        <v>0</v>
      </c>
      <c r="K37" s="686">
        <f>SUMIFS('Loan Entry'!$V$63:$V$66,'Loan Entry'!$D$63:$D$66,$C$34,'Loan Entry'!$AB$63:$AB$66,"*Mar*",'Loan Entry'!$M$63:$M$66,'Loans to Cash Flows Wkst'!K$2)</f>
        <v>0</v>
      </c>
      <c r="M37" s="777" t="s">
        <v>6</v>
      </c>
      <c r="N37" s="686">
        <f>SUMIFS('Loan Entry'!$W$63:$W$66,'Loan Entry'!$D$63:$D$66,$C$34,'Loan Entry'!$AB$63:$AB$66,$C37,'Loan Entry'!$M$63:$M$66,'Loans to Cash Flows Wkst'!N$2)</f>
        <v>0</v>
      </c>
      <c r="O37" s="686">
        <f>SUMIFS('Loan Entry'!$W$63:$W$66,'Loan Entry'!$D$63:$D$66,$C$34,'Loan Entry'!$AB$63:$AB$66,"*Mar*",'Loan Entry'!$M$63:$M$66,'Loans to Cash Flows Wkst'!O$2)</f>
        <v>0</v>
      </c>
      <c r="P37" s="686">
        <f>SUMIFS('Loan Entry'!$W$63:$W$66,'Loan Entry'!$D$63:$D$66,$C$34,'Loan Entry'!$AB$63:$AB$66,"*Mar*",'Loan Entry'!$M$63:$M$66,'Loans to Cash Flows Wkst'!P$2)</f>
        <v>0</v>
      </c>
      <c r="Q37" s="686">
        <f>SUMIFS('Loan Entry'!$W$63:$W$66,'Loan Entry'!$D$63:$D$66,$C$34,'Loan Entry'!$AB$63:$AB$66,"*Mar*",'Loan Entry'!$M$63:$M$66,'Loans to Cash Flows Wkst'!Q$2)</f>
        <v>0</v>
      </c>
    </row>
    <row r="38" spans="2:17" x14ac:dyDescent="0.2">
      <c r="B38" s="774" t="s">
        <v>185</v>
      </c>
      <c r="C38" s="790" t="s">
        <v>7</v>
      </c>
      <c r="D38" s="687">
        <f>SUM('Loans to Cash Flows Wkst'!$H38:$K38,'Loans to Cash Flows Wkst'!$N38:$Q38)</f>
        <v>0</v>
      </c>
      <c r="G38" s="774" t="s">
        <v>7</v>
      </c>
      <c r="H38" s="687">
        <f>SUMIFS('Loan Entry'!$V$63:$V$66,'Loan Entry'!$D$63:$D$66,$C$34,'Loan Entry'!$AB$63:$AB$66,$C38,'Loan Entry'!$M$63:$M$66,'Loans to Cash Flows Wkst'!H$2)</f>
        <v>0</v>
      </c>
      <c r="I38" s="687">
        <f>SUMIFS('Loan Entry'!$V$63:$V$66,'Loan Entry'!$D$63:$D$66,$C$34,'Loan Entry'!$AB$63:$AB$66,"*Apr*",'Loan Entry'!$M$63:$M$66,'Loans to Cash Flows Wkst'!I$2)</f>
        <v>0</v>
      </c>
      <c r="J38" s="687">
        <f>SUMIFS('Loan Entry'!$V$63:$V$66,'Loan Entry'!$D$63:$D$66,$C$34,'Loan Entry'!$AB$63:$AB$66,"*Apr*",'Loan Entry'!$M$63:$M$66,'Loans to Cash Flows Wkst'!J$2)</f>
        <v>0</v>
      </c>
      <c r="K38" s="687">
        <f>SUMIFS('Loan Entry'!$V$63:$V$66,'Loan Entry'!$D$63:$D$66,$C$34,'Loan Entry'!$AB$63:$AB$66,"*Apr*",'Loan Entry'!$M$63:$M$66,'Loans to Cash Flows Wkst'!K$2)</f>
        <v>0</v>
      </c>
      <c r="M38" s="774" t="s">
        <v>7</v>
      </c>
      <c r="N38" s="687">
        <f>SUMIFS('Loan Entry'!$W$63:$W$66,'Loan Entry'!$D$63:$D$66,$C$34,'Loan Entry'!$AB$63:$AB$66,$C38,'Loan Entry'!$M$63:$M$66,'Loans to Cash Flows Wkst'!N$2)</f>
        <v>0</v>
      </c>
      <c r="O38" s="687">
        <f>SUMIFS('Loan Entry'!$W$63:$W$66,'Loan Entry'!$D$63:$D$66,$C$34,'Loan Entry'!$AB$63:$AB$66,"*Apr*",'Loan Entry'!$M$63:$M$66,'Loans to Cash Flows Wkst'!O$2)</f>
        <v>0</v>
      </c>
      <c r="P38" s="687">
        <f>SUMIFS('Loan Entry'!$W$63:$W$66,'Loan Entry'!$D$63:$D$66,$C$34,'Loan Entry'!$AB$63:$AB$66,"*Apr*",'Loan Entry'!$M$63:$M$66,'Loans to Cash Flows Wkst'!P$2)</f>
        <v>0</v>
      </c>
      <c r="Q38" s="687">
        <f>SUMIFS('Loan Entry'!$W$63:$W$66,'Loan Entry'!$D$63:$D$66,$C$34,'Loan Entry'!$AB$63:$AB$66,"*Apr*",'Loan Entry'!$M$63:$M$66,'Loans to Cash Flows Wkst'!Q$2)</f>
        <v>0</v>
      </c>
    </row>
    <row r="39" spans="2:17" x14ac:dyDescent="0.2">
      <c r="B39" s="777" t="s">
        <v>3</v>
      </c>
      <c r="C39" s="789" t="s">
        <v>3</v>
      </c>
      <c r="D39" s="686">
        <f>SUM('Loans to Cash Flows Wkst'!$H39:$K39,'Loans to Cash Flows Wkst'!$N39:$Q39)</f>
        <v>0</v>
      </c>
      <c r="G39" s="777" t="s">
        <v>3</v>
      </c>
      <c r="H39" s="686">
        <f>SUMIFS('Loan Entry'!$V$63:$V$66,'Loan Entry'!$D$63:$D$66,$C$34,'Loan Entry'!$AB$63:$AB$66,$C39,'Loan Entry'!$M$63:$M$66,'Loans to Cash Flows Wkst'!H$2)</f>
        <v>0</v>
      </c>
      <c r="I39" s="686">
        <f>SUMIFS('Loan Entry'!$V$63:$V$66,'Loan Entry'!$D$63:$D$66,$C$34,'Loan Entry'!$AB$63:$AB$66,"*May*",'Loan Entry'!$M$63:$M$66,'Loans to Cash Flows Wkst'!I$2)</f>
        <v>0</v>
      </c>
      <c r="J39" s="686">
        <f>SUMIFS('Loan Entry'!$V$63:$V$66,'Loan Entry'!$D$63:$D$66,$C$34,'Loan Entry'!$AB$63:$AB$66,"*May*",'Loan Entry'!$M$63:$M$66,'Loans to Cash Flows Wkst'!J$2)</f>
        <v>0</v>
      </c>
      <c r="K39" s="686">
        <f>SUMIFS('Loan Entry'!$V$63:$V$66,'Loan Entry'!$D$63:$D$66,$C$34,'Loan Entry'!$AB$63:$AB$66,"*May*",'Loan Entry'!$M$63:$M$66,'Loans to Cash Flows Wkst'!K$2)</f>
        <v>0</v>
      </c>
      <c r="M39" s="777" t="s">
        <v>3</v>
      </c>
      <c r="N39" s="686">
        <f>SUMIFS('Loan Entry'!$W$63:$W$66,'Loan Entry'!$D$63:$D$66,$C$34,'Loan Entry'!$AB$63:$AB$66,$C39,'Loan Entry'!$M$63:$M$66,'Loans to Cash Flows Wkst'!N$2)</f>
        <v>0</v>
      </c>
      <c r="O39" s="686">
        <f>SUMIFS('Loan Entry'!$W$63:$W$66,'Loan Entry'!$D$63:$D$66,$C$34,'Loan Entry'!$AB$63:$AB$66,"*May*",'Loan Entry'!$M$63:$M$66,'Loans to Cash Flows Wkst'!O$2)</f>
        <v>0</v>
      </c>
      <c r="P39" s="686">
        <f>SUMIFS('Loan Entry'!$W$63:$W$66,'Loan Entry'!$D$63:$D$66,$C$34,'Loan Entry'!$AB$63:$AB$66,"*May*",'Loan Entry'!$M$63:$M$66,'Loans to Cash Flows Wkst'!P$2)</f>
        <v>0</v>
      </c>
      <c r="Q39" s="686">
        <f>SUMIFS('Loan Entry'!$W$63:$W$66,'Loan Entry'!$D$63:$D$66,$C$34,'Loan Entry'!$AB$63:$AB$66,"*May*",'Loan Entry'!$M$63:$M$66,'Loans to Cash Flows Wkst'!Q$2)</f>
        <v>0</v>
      </c>
    </row>
    <row r="40" spans="2:17" x14ac:dyDescent="0.2">
      <c r="B40" s="774" t="s">
        <v>186</v>
      </c>
      <c r="C40" s="790" t="s">
        <v>8</v>
      </c>
      <c r="D40" s="687">
        <f>SUM('Loans to Cash Flows Wkst'!$H40:$K40,'Loans to Cash Flows Wkst'!$N40:$Q40)</f>
        <v>0</v>
      </c>
      <c r="G40" s="774" t="s">
        <v>8</v>
      </c>
      <c r="H40" s="687">
        <f>SUMIFS('Loan Entry'!$V$63:$V$66,'Loan Entry'!$D$63:$D$66,$C$34,'Loan Entry'!$AB$63:$AB$66,$C40,'Loan Entry'!$M$63:$M$66,'Loans to Cash Flows Wkst'!H$2)</f>
        <v>0</v>
      </c>
      <c r="I40" s="687">
        <f>SUMIFS('Loan Entry'!$V$63:$V$66,'Loan Entry'!$D$63:$D$66,$C$34,'Loan Entry'!$AB$63:$AB$66,"*Jun*",'Loan Entry'!$M$63:$M$66,'Loans to Cash Flows Wkst'!I$2)</f>
        <v>0</v>
      </c>
      <c r="J40" s="687">
        <f>SUMIFS('Loan Entry'!$V$63:$V$66,'Loan Entry'!$D$63:$D$66,$C$34,'Loan Entry'!$AB$63:$AB$66,"*Jun*",'Loan Entry'!$M$63:$M$66,'Loans to Cash Flows Wkst'!J$2)</f>
        <v>0</v>
      </c>
      <c r="K40" s="687">
        <f>SUMIFS('Loan Entry'!$V$63:$V$66,'Loan Entry'!$D$63:$D$66,$C$34,'Loan Entry'!$AB$63:$AB$66,"*Jun*",'Loan Entry'!$M$63:$M$66,'Loans to Cash Flows Wkst'!K$2)</f>
        <v>0</v>
      </c>
      <c r="M40" s="774" t="s">
        <v>8</v>
      </c>
      <c r="N40" s="687">
        <f>SUMIFS('Loan Entry'!$W$63:$W$66,'Loan Entry'!$D$63:$D$66,$C$34,'Loan Entry'!$AB$63:$AB$66,$C40,'Loan Entry'!$M$63:$M$66,'Loans to Cash Flows Wkst'!N$2)</f>
        <v>0</v>
      </c>
      <c r="O40" s="687">
        <f>SUMIFS('Loan Entry'!$W$63:$W$66,'Loan Entry'!$D$63:$D$66,$C$34,'Loan Entry'!$AB$63:$AB$66,"*Jun*",'Loan Entry'!$M$63:$M$66,'Loans to Cash Flows Wkst'!O$2)</f>
        <v>0</v>
      </c>
      <c r="P40" s="687">
        <f>SUMIFS('Loan Entry'!$W$63:$W$66,'Loan Entry'!$D$63:$D$66,$C$34,'Loan Entry'!$AB$63:$AB$66,"*Jun*",'Loan Entry'!$M$63:$M$66,'Loans to Cash Flows Wkst'!P$2)</f>
        <v>0</v>
      </c>
      <c r="Q40" s="687">
        <f>SUMIFS('Loan Entry'!$W$63:$W$66,'Loan Entry'!$D$63:$D$66,$C$34,'Loan Entry'!$AB$63:$AB$66,"*Jun*",'Loan Entry'!$M$63:$M$66,'Loans to Cash Flows Wkst'!Q$2)</f>
        <v>0</v>
      </c>
    </row>
    <row r="41" spans="2:17" x14ac:dyDescent="0.2">
      <c r="B41" s="777" t="s">
        <v>187</v>
      </c>
      <c r="C41" s="789" t="s">
        <v>9</v>
      </c>
      <c r="D41" s="686">
        <f>SUM('Loans to Cash Flows Wkst'!$H41:$K41,'Loans to Cash Flows Wkst'!$N41:$Q41)</f>
        <v>0</v>
      </c>
      <c r="G41" s="777" t="s">
        <v>9</v>
      </c>
      <c r="H41" s="686">
        <f>SUMIFS('Loan Entry'!$V$63:$V$66,'Loan Entry'!$D$63:$D$66,$C$34,'Loan Entry'!$AB$63:$AB$66,$C41,'Loan Entry'!$M$63:$M$66,'Loans to Cash Flows Wkst'!H$2)</f>
        <v>0</v>
      </c>
      <c r="I41" s="686">
        <f>SUMIFS('Loan Entry'!$V$63:$V$66,'Loan Entry'!$D$63:$D$66,$C$34,'Loan Entry'!$AB$63:$AB$66,"*Jul*",'Loan Entry'!$M$63:$M$66,'Loans to Cash Flows Wkst'!I$2)</f>
        <v>0</v>
      </c>
      <c r="J41" s="686">
        <f>SUMIFS('Loan Entry'!$V$63:$V$66,'Loan Entry'!$D$63:$D$66,$C$34,'Loan Entry'!$AB$63:$AB$66,"*Jul*",'Loan Entry'!$M$63:$M$66,'Loans to Cash Flows Wkst'!J$2)</f>
        <v>0</v>
      </c>
      <c r="K41" s="686">
        <f>SUMIFS('Loan Entry'!$V$63:$V$66,'Loan Entry'!$D$63:$D$66,$C$34,'Loan Entry'!$AB$63:$AB$66,"*Jul*",'Loan Entry'!$M$63:$M$66,'Loans to Cash Flows Wkst'!K$2)</f>
        <v>0</v>
      </c>
      <c r="M41" s="777" t="s">
        <v>9</v>
      </c>
      <c r="N41" s="686">
        <f>SUMIFS('Loan Entry'!$W$63:$W$66,'Loan Entry'!$D$63:$D$66,$C$34,'Loan Entry'!$AB$63:$AB$66,$C41,'Loan Entry'!$M$63:$M$66,'Loans to Cash Flows Wkst'!N$2)</f>
        <v>0</v>
      </c>
      <c r="O41" s="686">
        <f>SUMIFS('Loan Entry'!$W$63:$W$66,'Loan Entry'!$D$63:$D$66,$C$34,'Loan Entry'!$AB$63:$AB$66,"*Jul*",'Loan Entry'!$M$63:$M$66,'Loans to Cash Flows Wkst'!O$2)</f>
        <v>0</v>
      </c>
      <c r="P41" s="686">
        <f>SUMIFS('Loan Entry'!$W$63:$W$66,'Loan Entry'!$D$63:$D$66,$C$34,'Loan Entry'!$AB$63:$AB$66,"*Jul*",'Loan Entry'!$M$63:$M$66,'Loans to Cash Flows Wkst'!P$2)</f>
        <v>0</v>
      </c>
      <c r="Q41" s="686">
        <f>SUMIFS('Loan Entry'!$W$63:$W$66,'Loan Entry'!$D$63:$D$66,$C$34,'Loan Entry'!$AB$63:$AB$66,"*Jul*",'Loan Entry'!$M$63:$M$66,'Loans to Cash Flows Wkst'!Q$2)</f>
        <v>0</v>
      </c>
    </row>
    <row r="42" spans="2:17" x14ac:dyDescent="0.2">
      <c r="B42" s="774" t="s">
        <v>188</v>
      </c>
      <c r="C42" s="790" t="s">
        <v>10</v>
      </c>
      <c r="D42" s="687">
        <f>SUM('Loans to Cash Flows Wkst'!$H42:$K42,'Loans to Cash Flows Wkst'!$N42:$Q42)</f>
        <v>0</v>
      </c>
      <c r="G42" s="774" t="s">
        <v>10</v>
      </c>
      <c r="H42" s="687">
        <f>SUMIFS('Loan Entry'!$V$63:$V$66,'Loan Entry'!$D$63:$D$66,$C$34,'Loan Entry'!$AB$63:$AB$66,$C42,'Loan Entry'!$M$63:$M$66,'Loans to Cash Flows Wkst'!H$2)</f>
        <v>0</v>
      </c>
      <c r="I42" s="687">
        <f>SUMIFS('Loan Entry'!$V$63:$V$66,'Loan Entry'!$D$63:$D$66,$C$34,'Loan Entry'!$AB$63:$AB$66,"*Aug*",'Loan Entry'!$M$63:$M$66,'Loans to Cash Flows Wkst'!I$2)</f>
        <v>0</v>
      </c>
      <c r="J42" s="687">
        <f>SUMIFS('Loan Entry'!$V$63:$V$66,'Loan Entry'!$D$63:$D$66,$C$34,'Loan Entry'!$AB$63:$AB$66,"*Aug*",'Loan Entry'!$M$63:$M$66,'Loans to Cash Flows Wkst'!J$2)</f>
        <v>0</v>
      </c>
      <c r="K42" s="687">
        <f>SUMIFS('Loan Entry'!$V$63:$V$66,'Loan Entry'!$D$63:$D$66,$C$34,'Loan Entry'!$AB$63:$AB$66,"*Aug*",'Loan Entry'!$M$63:$M$66,'Loans to Cash Flows Wkst'!K$2)</f>
        <v>0</v>
      </c>
      <c r="M42" s="774" t="s">
        <v>10</v>
      </c>
      <c r="N42" s="687">
        <f>SUMIFS('Loan Entry'!$W$63:$W$66,'Loan Entry'!$D$63:$D$66,$C$34,'Loan Entry'!$AB$63:$AB$66,$C42,'Loan Entry'!$M$63:$M$66,'Loans to Cash Flows Wkst'!N$2)</f>
        <v>0</v>
      </c>
      <c r="O42" s="687">
        <f>SUMIFS('Loan Entry'!$W$63:$W$66,'Loan Entry'!$D$63:$D$66,$C$34,'Loan Entry'!$AB$63:$AB$66,"*Aug*",'Loan Entry'!$M$63:$M$66,'Loans to Cash Flows Wkst'!O$2)</f>
        <v>0</v>
      </c>
      <c r="P42" s="687">
        <f>SUMIFS('Loan Entry'!$W$63:$W$66,'Loan Entry'!$D$63:$D$66,$C$34,'Loan Entry'!$AB$63:$AB$66,"*Aug*",'Loan Entry'!$M$63:$M$66,'Loans to Cash Flows Wkst'!P$2)</f>
        <v>0</v>
      </c>
      <c r="Q42" s="687">
        <f>SUMIFS('Loan Entry'!$W$63:$W$66,'Loan Entry'!$D$63:$D$66,$C$34,'Loan Entry'!$AB$63:$AB$66,"*Aug*",'Loan Entry'!$M$63:$M$66,'Loans to Cash Flows Wkst'!Q$2)</f>
        <v>0</v>
      </c>
    </row>
    <row r="43" spans="2:17" x14ac:dyDescent="0.2">
      <c r="B43" s="777" t="s">
        <v>189</v>
      </c>
      <c r="C43" s="789" t="s">
        <v>11</v>
      </c>
      <c r="D43" s="686">
        <f>SUM('Loans to Cash Flows Wkst'!$H43:$K43,'Loans to Cash Flows Wkst'!$N43:$Q43)</f>
        <v>0</v>
      </c>
      <c r="G43" s="777" t="s">
        <v>11</v>
      </c>
      <c r="H43" s="686">
        <f>SUMIFS('Loan Entry'!$V$63:$V$66,'Loan Entry'!$D$63:$D$66,$C$34,'Loan Entry'!$AB$63:$AB$66,$C43,'Loan Entry'!$M$63:$M$66,'Loans to Cash Flows Wkst'!H$2)</f>
        <v>0</v>
      </c>
      <c r="I43" s="686">
        <f>SUMIFS('Loan Entry'!$V$63:$V$66,'Loan Entry'!$D$63:$D$66,$C$34,'Loan Entry'!$AB$63:$AB$66,"*Sep*",'Loan Entry'!$M$63:$M$66,'Loans to Cash Flows Wkst'!I$2)</f>
        <v>0</v>
      </c>
      <c r="J43" s="686">
        <f>SUMIFS('Loan Entry'!$V$63:$V$66,'Loan Entry'!$D$63:$D$66,$C$34,'Loan Entry'!$AB$63:$AB$66,"*Sep*",'Loan Entry'!$M$63:$M$66,'Loans to Cash Flows Wkst'!J$2)</f>
        <v>0</v>
      </c>
      <c r="K43" s="686">
        <f>SUMIFS('Loan Entry'!$V$63:$V$66,'Loan Entry'!$D$63:$D$66,$C$34,'Loan Entry'!$AB$63:$AB$66,"*Sep*",'Loan Entry'!$M$63:$M$66,'Loans to Cash Flows Wkst'!K$2)</f>
        <v>0</v>
      </c>
      <c r="M43" s="777" t="s">
        <v>11</v>
      </c>
      <c r="N43" s="686">
        <f>SUMIFS('Loan Entry'!$W$63:$W$66,'Loan Entry'!$D$63:$D$66,$C$34,'Loan Entry'!$AB$63:$AB$66,$C43,'Loan Entry'!$M$63:$M$66,'Loans to Cash Flows Wkst'!N$2)</f>
        <v>0</v>
      </c>
      <c r="O43" s="686">
        <f>SUMIFS('Loan Entry'!$W$63:$W$66,'Loan Entry'!$D$63:$D$66,$C$34,'Loan Entry'!$AB$63:$AB$66,"*Sep*",'Loan Entry'!$M$63:$M$66,'Loans to Cash Flows Wkst'!O$2)</f>
        <v>0</v>
      </c>
      <c r="P43" s="686">
        <f>SUMIFS('Loan Entry'!$W$63:$W$66,'Loan Entry'!$D$63:$D$66,$C$34,'Loan Entry'!$AB$63:$AB$66,"*Sep*",'Loan Entry'!$M$63:$M$66,'Loans to Cash Flows Wkst'!P$2)</f>
        <v>0</v>
      </c>
      <c r="Q43" s="686">
        <f>SUMIFS('Loan Entry'!$W$63:$W$66,'Loan Entry'!$D$63:$D$66,$C$34,'Loan Entry'!$AB$63:$AB$66,"*Sep*",'Loan Entry'!$M$63:$M$66,'Loans to Cash Flows Wkst'!Q$2)</f>
        <v>0</v>
      </c>
    </row>
    <row r="44" spans="2:17" x14ac:dyDescent="0.2">
      <c r="B44" s="774" t="s">
        <v>190</v>
      </c>
      <c r="C44" s="790" t="s">
        <v>12</v>
      </c>
      <c r="D44" s="687">
        <f>SUM('Loans to Cash Flows Wkst'!$H44:$K44,'Loans to Cash Flows Wkst'!$N44:$Q44)</f>
        <v>0</v>
      </c>
      <c r="G44" s="774" t="s">
        <v>12</v>
      </c>
      <c r="H44" s="687">
        <f>SUMIFS('Loan Entry'!$V$63:$V$66,'Loan Entry'!$D$63:$D$66,$C$34,'Loan Entry'!$AB$63:$AB$66,$C44,'Loan Entry'!$M$63:$M$66,'Loans to Cash Flows Wkst'!H$2)</f>
        <v>0</v>
      </c>
      <c r="I44" s="687">
        <f>SUMIFS('Loan Entry'!$V$63:$V$66,'Loan Entry'!$D$63:$D$66,$C$34,'Loan Entry'!$AB$63:$AB$66,"*Oct*",'Loan Entry'!$M$63:$M$66,'Loans to Cash Flows Wkst'!I$2)</f>
        <v>0</v>
      </c>
      <c r="J44" s="687">
        <f>SUMIFS('Loan Entry'!$V$63:$V$66,'Loan Entry'!$D$63:$D$66,$C$34,'Loan Entry'!$AB$63:$AB$66,"*Oct*",'Loan Entry'!$M$63:$M$66,'Loans to Cash Flows Wkst'!J$2)</f>
        <v>0</v>
      </c>
      <c r="K44" s="687">
        <f>SUMIFS('Loan Entry'!$V$63:$V$66,'Loan Entry'!$D$63:$D$66,$C$34,'Loan Entry'!$AB$63:$AB$66,"*Oct*",'Loan Entry'!$M$63:$M$66,'Loans to Cash Flows Wkst'!K$2)</f>
        <v>0</v>
      </c>
      <c r="M44" s="774" t="s">
        <v>12</v>
      </c>
      <c r="N44" s="687">
        <f>SUMIFS('Loan Entry'!$W$63:$W$66,'Loan Entry'!$D$63:$D$66,$C$34,'Loan Entry'!$AB$63:$AB$66,$C44,'Loan Entry'!$M$63:$M$66,'Loans to Cash Flows Wkst'!N$2)</f>
        <v>0</v>
      </c>
      <c r="O44" s="687">
        <f>SUMIFS('Loan Entry'!$W$63:$W$66,'Loan Entry'!$D$63:$D$66,$C$34,'Loan Entry'!$AB$63:$AB$66,"*Oct*",'Loan Entry'!$M$63:$M$66,'Loans to Cash Flows Wkst'!O$2)</f>
        <v>0</v>
      </c>
      <c r="P44" s="687">
        <f>SUMIFS('Loan Entry'!$W$63:$W$66,'Loan Entry'!$D$63:$D$66,$C$34,'Loan Entry'!$AB$63:$AB$66,"*Oct*",'Loan Entry'!$M$63:$M$66,'Loans to Cash Flows Wkst'!P$2)</f>
        <v>0</v>
      </c>
      <c r="Q44" s="687">
        <f>SUMIFS('Loan Entry'!$W$63:$W$66,'Loan Entry'!$D$63:$D$66,$C$34,'Loan Entry'!$AB$63:$AB$66,"*Oct*",'Loan Entry'!$M$63:$M$66,'Loans to Cash Flows Wkst'!Q$2)</f>
        <v>0</v>
      </c>
    </row>
    <row r="45" spans="2:17" x14ac:dyDescent="0.2">
      <c r="B45" s="777" t="s">
        <v>191</v>
      </c>
      <c r="C45" s="789" t="s">
        <v>13</v>
      </c>
      <c r="D45" s="686">
        <f>SUM('Loans to Cash Flows Wkst'!$H45:$K45,'Loans to Cash Flows Wkst'!$N45:$Q45)</f>
        <v>0</v>
      </c>
      <c r="G45" s="777" t="s">
        <v>13</v>
      </c>
      <c r="H45" s="686">
        <f>SUMIFS('Loan Entry'!$V$63:$V$66,'Loan Entry'!$D$63:$D$66,$C$34,'Loan Entry'!$AB$63:$AB$66,$C45,'Loan Entry'!$M$63:$M$66,'Loans to Cash Flows Wkst'!H$2)</f>
        <v>0</v>
      </c>
      <c r="I45" s="686">
        <f>SUMIFS('Loan Entry'!$V$63:$V$66,'Loan Entry'!$D$63:$D$66,$C$34,'Loan Entry'!$AB$63:$AB$66,"*Nov*",'Loan Entry'!$M$63:$M$66,'Loans to Cash Flows Wkst'!I$2)</f>
        <v>0</v>
      </c>
      <c r="J45" s="686">
        <f>SUMIFS('Loan Entry'!$V$63:$V$66,'Loan Entry'!$D$63:$D$66,$C$34,'Loan Entry'!$AB$63:$AB$66,"*Nov*",'Loan Entry'!$M$63:$M$66,'Loans to Cash Flows Wkst'!J$2)</f>
        <v>0</v>
      </c>
      <c r="K45" s="686">
        <f>SUMIFS('Loan Entry'!$V$63:$V$66,'Loan Entry'!$D$63:$D$66,$C$34,'Loan Entry'!$AB$63:$AB$66,"*Nov*",'Loan Entry'!$M$63:$M$66,'Loans to Cash Flows Wkst'!K$2)</f>
        <v>0</v>
      </c>
      <c r="M45" s="777" t="s">
        <v>13</v>
      </c>
      <c r="N45" s="686">
        <f>SUMIFS('Loan Entry'!$W$63:$W$66,'Loan Entry'!$D$63:$D$66,$C$34,'Loan Entry'!$AB$63:$AB$66,$C45,'Loan Entry'!$M$63:$M$66,'Loans to Cash Flows Wkst'!N$2)</f>
        <v>0</v>
      </c>
      <c r="O45" s="686">
        <f>SUMIFS('Loan Entry'!$W$63:$W$66,'Loan Entry'!$D$63:$D$66,$C$34,'Loan Entry'!$AB$63:$AB$66,"*Nov*",'Loan Entry'!$M$63:$M$66,'Loans to Cash Flows Wkst'!O$2)</f>
        <v>0</v>
      </c>
      <c r="P45" s="686">
        <f>SUMIFS('Loan Entry'!$W$63:$W$66,'Loan Entry'!$D$63:$D$66,$C$34,'Loan Entry'!$AB$63:$AB$66,"*Nov*",'Loan Entry'!$M$63:$M$66,'Loans to Cash Flows Wkst'!P$2)</f>
        <v>0</v>
      </c>
      <c r="Q45" s="686">
        <f>SUMIFS('Loan Entry'!$W$63:$W$66,'Loan Entry'!$D$63:$D$66,$C$34,'Loan Entry'!$AB$63:$AB$66,"*Nov*",'Loan Entry'!$M$63:$M$66,'Loans to Cash Flows Wkst'!Q$2)</f>
        <v>0</v>
      </c>
    </row>
    <row r="46" spans="2:17" ht="13.5" thickBot="1" x14ac:dyDescent="0.25">
      <c r="B46" s="774" t="s">
        <v>192</v>
      </c>
      <c r="C46" s="790" t="s">
        <v>14</v>
      </c>
      <c r="D46" s="687">
        <f>SUM('Loans to Cash Flows Wkst'!$H46:$K46,'Loans to Cash Flows Wkst'!$N46:$Q46)</f>
        <v>0</v>
      </c>
      <c r="G46" s="774" t="s">
        <v>14</v>
      </c>
      <c r="H46" s="687">
        <f>SUMIFS('Loan Entry'!$V$63:$V$66,'Loan Entry'!$D$63:$D$66,$C$34,'Loan Entry'!$AB$63:$AB$66,$C46,'Loan Entry'!$M$63:$M$66,'Loans to Cash Flows Wkst'!H$2)</f>
        <v>0</v>
      </c>
      <c r="I46" s="687">
        <f>SUMIFS('Loan Entry'!$V$63:$V$66,'Loan Entry'!$D$63:$D$66,$C$34,'Loan Entry'!$AB$63:$AB$66,"*Dec*",'Loan Entry'!$M$63:$M$66,'Loans to Cash Flows Wkst'!I$2)</f>
        <v>0</v>
      </c>
      <c r="J46" s="687">
        <f>SUMIFS('Loan Entry'!$V$63:$V$66,'Loan Entry'!$D$63:$D$66,$C$34,'Loan Entry'!$AB$63:$AB$66,"*Dec*",'Loan Entry'!$M$63:$M$66,'Loans to Cash Flows Wkst'!J$2)</f>
        <v>0</v>
      </c>
      <c r="K46" s="687">
        <f>SUMIFS('Loan Entry'!$V$63:$V$66,'Loan Entry'!$D$63:$D$66,$C$34,'Loan Entry'!$AB$63:$AB$66,"*Dec*",'Loan Entry'!$M$63:$M$66,'Loans to Cash Flows Wkst'!K$2)</f>
        <v>0</v>
      </c>
      <c r="M46" s="774" t="s">
        <v>14</v>
      </c>
      <c r="N46" s="687">
        <f>SUMIFS('Loan Entry'!$W$63:$W$66,'Loan Entry'!$D$63:$D$66,$C$34,'Loan Entry'!$AB$63:$AB$66,$C46,'Loan Entry'!$M$63:$M$66,'Loans to Cash Flows Wkst'!N$2)</f>
        <v>0</v>
      </c>
      <c r="O46" s="687">
        <f>SUMIFS('Loan Entry'!$W$63:$W$66,'Loan Entry'!$D$63:$D$66,$C$34,'Loan Entry'!$AB$63:$AB$66,"*Dec*",'Loan Entry'!$M$63:$M$66,'Loans to Cash Flows Wkst'!O$2)</f>
        <v>0</v>
      </c>
      <c r="P46" s="687">
        <f>SUMIFS('Loan Entry'!$W$63:$W$66,'Loan Entry'!$D$63:$D$66,$C$34,'Loan Entry'!$AB$63:$AB$66,"*Dec*",'Loan Entry'!$M$63:$M$66,'Loans to Cash Flows Wkst'!P$2)</f>
        <v>0</v>
      </c>
      <c r="Q46" s="687">
        <f>SUMIFS('Loan Entry'!$W$63:$W$66,'Loan Entry'!$D$63:$D$66,$C$34,'Loan Entry'!$AB$63:$AB$66,"*Dec*",'Loan Entry'!$M$63:$M$66,'Loans to Cash Flows Wkst'!Q$2)</f>
        <v>0</v>
      </c>
    </row>
    <row r="47" spans="2:17" ht="13.5" thickTop="1" x14ac:dyDescent="0.2">
      <c r="B47" s="781"/>
      <c r="C47" s="782"/>
      <c r="D47" s="783">
        <f>SUM('Loans to Cash Flows Wkst'!$D$35:$D$46)</f>
        <v>0</v>
      </c>
      <c r="G47" s="786"/>
      <c r="H47" s="769">
        <f>SUM('Loans to Cash Flows Wkst'!$H$35:$H$46)</f>
        <v>0</v>
      </c>
      <c r="I47" s="769">
        <f>SUM('Loans to Cash Flows Wkst'!$I$35:$I$46)</f>
        <v>0</v>
      </c>
      <c r="J47" s="769">
        <f>SUM('Loans to Cash Flows Wkst'!$J$35:$J$46)</f>
        <v>0</v>
      </c>
      <c r="K47" s="769">
        <f>SUM('Loans to Cash Flows Wkst'!$K$35:$K$46)</f>
        <v>0</v>
      </c>
      <c r="M47" s="786"/>
      <c r="N47" s="769">
        <f>SUM('Loans to Cash Flows Wkst'!$N$35:$N$46)</f>
        <v>0</v>
      </c>
      <c r="O47" s="769">
        <f>SUM('Loans to Cash Flows Wkst'!$O$35:$O$46)</f>
        <v>0</v>
      </c>
      <c r="P47" s="769">
        <f>SUM('Loans to Cash Flows Wkst'!$P$35:$P$46)</f>
        <v>0</v>
      </c>
      <c r="Q47" s="769">
        <f>SUM('Loans to Cash Flows Wkst'!$Q$35:$Q$46)</f>
        <v>0</v>
      </c>
    </row>
    <row r="51" spans="2:17" ht="13.5" thickBot="1" x14ac:dyDescent="0.25">
      <c r="B51" s="407" t="s">
        <v>125</v>
      </c>
      <c r="C51" s="408" t="s">
        <v>229</v>
      </c>
      <c r="D51" s="408" t="s">
        <v>175</v>
      </c>
      <c r="G51" s="407" t="s">
        <v>196</v>
      </c>
      <c r="H51" s="408" t="s">
        <v>104</v>
      </c>
      <c r="I51" s="408" t="s">
        <v>102</v>
      </c>
      <c r="J51" s="408" t="s">
        <v>100</v>
      </c>
      <c r="K51" s="408" t="s">
        <v>99</v>
      </c>
      <c r="M51" s="407" t="s">
        <v>196</v>
      </c>
      <c r="N51" s="690" t="s">
        <v>104</v>
      </c>
      <c r="O51" s="690" t="s">
        <v>102</v>
      </c>
      <c r="P51" s="690" t="s">
        <v>100</v>
      </c>
      <c r="Q51" s="690" t="s">
        <v>99</v>
      </c>
    </row>
    <row r="52" spans="2:17" ht="14.25" thickTop="1" thickBot="1" x14ac:dyDescent="0.25">
      <c r="B52" s="771" t="s">
        <v>182</v>
      </c>
      <c r="C52" s="791" t="s">
        <v>4</v>
      </c>
      <c r="D52" s="792">
        <f>SUM('Loans to Cash Flows Wkst'!$H52:$K52,'Loans to Cash Flows Wkst'!$N52:$Q52)</f>
        <v>0</v>
      </c>
      <c r="G52" s="791" t="s">
        <v>4</v>
      </c>
      <c r="H52" s="792">
        <f>SUMIFS('Loan Entry'!$V$71:$V$74,'Loan Entry'!$D$71:$D$74,$C$51,'Loan Entry'!$AB$71:$AB$74,$C35,'Loan Entry'!$M$71:$M$74,'Loans to Cash Flows Wkst'!N$2)</f>
        <v>0</v>
      </c>
      <c r="I52" s="693">
        <f>SUMIFS('Loan Entry'!$V$71:$V$74,'Loan Entry'!$D$71:$D$74,$C$51,'Loan Entry'!$AB$71:$AB$74,"*Jan*",'Loan Entry'!$M$71:$M$74,'Loans to Cash Flows Wkst'!O$2)</f>
        <v>0</v>
      </c>
      <c r="J52" s="693">
        <f>SUMIFS('Loan Entry'!$V$71:$V$74,'Loan Entry'!$D$71:$D$74,$C$51,'Loan Entry'!$AB$71:$AB$74,"*Jan*",'Loan Entry'!$M$71:$M$74,'Loans to Cash Flows Wkst'!P$2)</f>
        <v>0</v>
      </c>
      <c r="K52" s="693">
        <f>SUMIFS('Loan Entry'!$V$71:$V$74,'Loan Entry'!$D$71:$D$74,$C$51,'Loan Entry'!$AB$71:$AB$74,"*Jan*",'Loan Entry'!$M$71:$M$74,'Loans to Cash Flows Wkst'!Q$2)</f>
        <v>0</v>
      </c>
      <c r="M52" s="784" t="s">
        <v>4</v>
      </c>
      <c r="N52" s="693">
        <f>SUMIFS('Loan Entry'!$W$71:$W$74,'Loan Entry'!$D$71:$D$74,$C$51,'Loan Entry'!$AB$71:$AB$74,$C52,'Loan Entry'!$M$71:$M$74,'Loans to Cash Flows Wkst'!N$2)</f>
        <v>0</v>
      </c>
      <c r="O52" s="693">
        <f>SUMIFS('Loan Entry'!$W$71:$W$74,'Loan Entry'!$D$71:$D$74,$C$51,'Loan Entry'!$AB$71:$AB$74,"*Jan*",'Loan Entry'!$M$71:$M$74,'Loans to Cash Flows Wkst'!O$2)</f>
        <v>0</v>
      </c>
      <c r="P52" s="693">
        <f>SUMIFS('Loan Entry'!$W$71:$W$74,'Loan Entry'!$D$71:$D$74,$C$51,'Loan Entry'!$AB$71:$AB$74,"*Jan*",'Loan Entry'!$M$71:$M$74,'Loans to Cash Flows Wkst'!P$2)</f>
        <v>0</v>
      </c>
      <c r="Q52" s="693">
        <f>SUMIFS('Loan Entry'!$W$71:$W$74,'Loan Entry'!$D$71:$D$74,$C$51,'Loan Entry'!$AB$71:$AB$74,"*Jan*",'Loan Entry'!$M$71:$M$74,'Loans to Cash Flows Wkst'!Q$2)</f>
        <v>0</v>
      </c>
    </row>
    <row r="53" spans="2:17" ht="13.5" thickBot="1" x14ac:dyDescent="0.25">
      <c r="B53" s="774" t="s">
        <v>183</v>
      </c>
      <c r="C53" s="793" t="s">
        <v>5</v>
      </c>
      <c r="D53" s="794">
        <f>SUM('Loans to Cash Flows Wkst'!$H53:$K53,'Loans to Cash Flows Wkst'!$N53:$Q53)</f>
        <v>0</v>
      </c>
      <c r="G53" s="800" t="s">
        <v>5</v>
      </c>
      <c r="H53" s="794">
        <f>SUMIFS('Loan Entry'!$V$71:$V$74,'Loan Entry'!$D$71:$D$74,$C$51,'Loan Entry'!$AB$71:$AB$74,$C36,'Loan Entry'!$M$71:$M$74,'Loans to Cash Flows Wkst'!N$2)</f>
        <v>0</v>
      </c>
      <c r="I53" s="687">
        <f>SUMIFS('Loan Entry'!$V$71:$V$74,'Loan Entry'!$D$71:$D$74,$C$51,'Loan Entry'!$AB$71:$AB$74,"*Feb*",'Loan Entry'!$M$71:$M$74,'Loans to Cash Flows Wkst'!O$2)</f>
        <v>0</v>
      </c>
      <c r="J53" s="687">
        <f>SUMIFS('Loan Entry'!$V$71:$V$74,'Loan Entry'!$D$71:$D$74,$C$51,'Loan Entry'!$AB$71:$AB$74,"*Feb*",'Loan Entry'!$M$71:$M$74,'Loans to Cash Flows Wkst'!P$2)</f>
        <v>0</v>
      </c>
      <c r="K53" s="687">
        <f>SUMIFS('Loan Entry'!$V$71:$V$74,'Loan Entry'!$D$71:$D$74,$C$51,'Loan Entry'!$AB$71:$AB$74,"*Feb*",'Loan Entry'!$M$71:$M$74,'Loans to Cash Flows Wkst'!Q$2)</f>
        <v>0</v>
      </c>
      <c r="M53" s="785" t="s">
        <v>5</v>
      </c>
      <c r="N53" s="687">
        <f>SUMIFS('Loan Entry'!$W$71:$W$74,'Loan Entry'!$D$71:$D$74,$C$51,'Loan Entry'!$AB$71:$AB$74,$C53,'Loan Entry'!$M$71:$M$74,'Loans to Cash Flows Wkst'!N$2)</f>
        <v>0</v>
      </c>
      <c r="O53" s="687">
        <f>SUMIFS('Loan Entry'!$W$71:$W$74,'Loan Entry'!$D$71:$D$74,$C$51,'Loan Entry'!$AB$71:$AB$74,"*Feb*",'Loan Entry'!$M$71:$M$74,'Loans to Cash Flows Wkst'!O$2)</f>
        <v>0</v>
      </c>
      <c r="P53" s="687">
        <f>SUMIFS('Loan Entry'!$W$71:$W$74,'Loan Entry'!$D$71:$D$74,$C$51,'Loan Entry'!$AB$71:$AB$74,"*Feb*",'Loan Entry'!$M$71:$M$74,'Loans to Cash Flows Wkst'!P$2)</f>
        <v>0</v>
      </c>
      <c r="Q53" s="687">
        <f>SUMIFS('Loan Entry'!$W$71:$W$74,'Loan Entry'!$D$71:$D$74,$C$51,'Loan Entry'!$AB$71:$AB$74,"*Feb*",'Loan Entry'!$M$71:$M$74,'Loans to Cash Flows Wkst'!Q$2)</f>
        <v>0</v>
      </c>
    </row>
    <row r="54" spans="2:17" ht="13.5" thickBot="1" x14ac:dyDescent="0.25">
      <c r="B54" s="777" t="s">
        <v>184</v>
      </c>
      <c r="C54" s="795" t="s">
        <v>6</v>
      </c>
      <c r="D54" s="796">
        <f>SUM('Loans to Cash Flows Wkst'!$H54:$K54,'Loans to Cash Flows Wkst'!$N54:$Q54)</f>
        <v>0</v>
      </c>
      <c r="G54" s="801" t="s">
        <v>6</v>
      </c>
      <c r="H54" s="796">
        <f>SUMIFS('Loan Entry'!$V$71:$V$74,'Loan Entry'!$D$71:$D$74,$C$51,'Loan Entry'!$AB$71:$AB$74,$C37,'Loan Entry'!$M$71:$M$74,'Loans to Cash Flows Wkst'!N$2)</f>
        <v>0</v>
      </c>
      <c r="I54" s="686">
        <f>SUMIFS('Loan Entry'!$V$71:$V$74,'Loan Entry'!$D$71:$D$74,$C$51,'Loan Entry'!$AB$71:$AB$74,"*Mar*",'Loan Entry'!$M$71:$M$74,'Loans to Cash Flows Wkst'!O$2)</f>
        <v>0</v>
      </c>
      <c r="J54" s="686">
        <f>SUMIFS('Loan Entry'!$V$71:$V$74,'Loan Entry'!$D$71:$D$74,$C$51,'Loan Entry'!$AB$71:$AB$74,"*Mar*",'Loan Entry'!$M$71:$M$74,'Loans to Cash Flows Wkst'!P$2)</f>
        <v>0</v>
      </c>
      <c r="K54" s="686">
        <f>SUMIFS('Loan Entry'!$V$71:$V$74,'Loan Entry'!$D$71:$D$74,$C$51,'Loan Entry'!$AB$71:$AB$74,"*Mar*",'Loan Entry'!$M$71:$M$74,'Loans to Cash Flows Wkst'!Q$2)</f>
        <v>0</v>
      </c>
      <c r="M54" s="777" t="s">
        <v>6</v>
      </c>
      <c r="N54" s="686">
        <f>SUMIFS('Loan Entry'!$W$71:$W$74,'Loan Entry'!$D$71:$D$74,$C$51,'Loan Entry'!$AB$71:$AB$74,$C54,'Loan Entry'!$M$71:$M$74,'Loans to Cash Flows Wkst'!N$2)</f>
        <v>0</v>
      </c>
      <c r="O54" s="686">
        <f>SUMIFS('Loan Entry'!$W$71:$W$74,'Loan Entry'!$D$71:$D$74,$C$51,'Loan Entry'!$AB$71:$AB$74,"*Mar*",'Loan Entry'!$M$71:$M$74,'Loans to Cash Flows Wkst'!O$2)</f>
        <v>0</v>
      </c>
      <c r="P54" s="686">
        <f>SUMIFS('Loan Entry'!$W$71:$W$74,'Loan Entry'!$D$71:$D$74,$C$51,'Loan Entry'!$AB$71:$AB$74,"*Mar*",'Loan Entry'!$M$71:$M$74,'Loans to Cash Flows Wkst'!P$2)</f>
        <v>0</v>
      </c>
      <c r="Q54" s="686">
        <f>SUMIFS('Loan Entry'!$W$71:$W$74,'Loan Entry'!$D$71:$D$74,$C$51,'Loan Entry'!$AB$71:$AB$74,"*Mar*",'Loan Entry'!$M$71:$M$74,'Loans to Cash Flows Wkst'!Q$2)</f>
        <v>0</v>
      </c>
    </row>
    <row r="55" spans="2:17" ht="13.5" thickBot="1" x14ac:dyDescent="0.25">
      <c r="B55" s="774" t="s">
        <v>185</v>
      </c>
      <c r="C55" s="797" t="s">
        <v>7</v>
      </c>
      <c r="D55" s="794">
        <f>SUM('Loans to Cash Flows Wkst'!$H55:$K55,'Loans to Cash Flows Wkst'!$N55:$Q55)</f>
        <v>0</v>
      </c>
      <c r="G55" s="802" t="s">
        <v>7</v>
      </c>
      <c r="H55" s="794">
        <f>SUMIFS('Loan Entry'!$V$71:$V$74,'Loan Entry'!$D$71:$D$74,$C$51,'Loan Entry'!$AB$71:$AB$74,$C38,'Loan Entry'!$M$71:$M$74,'Loans to Cash Flows Wkst'!N$2)</f>
        <v>0</v>
      </c>
      <c r="I55" s="687">
        <f>SUMIFS('Loan Entry'!$V$71:$V$74,'Loan Entry'!$D$71:$D$74,$C$51,'Loan Entry'!$AB$71:$AB$74,"*Apr*",'Loan Entry'!$M$71:$M$74,'Loans to Cash Flows Wkst'!O$2)</f>
        <v>0</v>
      </c>
      <c r="J55" s="687">
        <f>SUMIFS('Loan Entry'!$V$71:$V$74,'Loan Entry'!$D$71:$D$74,$C$51,'Loan Entry'!$AB$71:$AB$74,"*Apr*",'Loan Entry'!$M$71:$M$74,'Loans to Cash Flows Wkst'!P$2)</f>
        <v>0</v>
      </c>
      <c r="K55" s="687">
        <f>SUMIFS('Loan Entry'!$V$71:$V$74,'Loan Entry'!$D$71:$D$74,$C$51,'Loan Entry'!$AB$71:$AB$74,"*Apr*",'Loan Entry'!$M$71:$M$74,'Loans to Cash Flows Wkst'!Q$2)</f>
        <v>0</v>
      </c>
      <c r="M55" s="774" t="s">
        <v>7</v>
      </c>
      <c r="N55" s="687">
        <f>SUMIFS('Loan Entry'!$W$71:$W$74,'Loan Entry'!$D$71:$D$74,$C$51,'Loan Entry'!$AB$71:$AB$74,$C55,'Loan Entry'!$M$71:$M$74,'Loans to Cash Flows Wkst'!N$2)</f>
        <v>0</v>
      </c>
      <c r="O55" s="687">
        <f>SUMIFS('Loan Entry'!$W$71:$W$74,'Loan Entry'!$D$71:$D$74,$C$51,'Loan Entry'!$AB$71:$AB$74,"*Apr*",'Loan Entry'!$M$71:$M$74,'Loans to Cash Flows Wkst'!O$2)</f>
        <v>0</v>
      </c>
      <c r="P55" s="687">
        <f>SUMIFS('Loan Entry'!$W$71:$W$74,'Loan Entry'!$D$71:$D$74,$C$51,'Loan Entry'!$AB$71:$AB$74,"*Apr*",'Loan Entry'!$M$71:$M$74,'Loans to Cash Flows Wkst'!P$2)</f>
        <v>0</v>
      </c>
      <c r="Q55" s="687">
        <f>SUMIFS('Loan Entry'!$W$71:$W$74,'Loan Entry'!$D$71:$D$74,$C$51,'Loan Entry'!$AB$71:$AB$74,"*Apr*",'Loan Entry'!$M$71:$M$74,'Loans to Cash Flows Wkst'!Q$2)</f>
        <v>0</v>
      </c>
    </row>
    <row r="56" spans="2:17" ht="13.5" thickBot="1" x14ac:dyDescent="0.25">
      <c r="B56" s="777" t="s">
        <v>3</v>
      </c>
      <c r="C56" s="795" t="s">
        <v>3</v>
      </c>
      <c r="D56" s="796">
        <f>SUM('Loans to Cash Flows Wkst'!$H56:$K56,'Loans to Cash Flows Wkst'!$N56:$Q56)</f>
        <v>0</v>
      </c>
      <c r="G56" s="801" t="s">
        <v>3</v>
      </c>
      <c r="H56" s="796">
        <f>SUMIFS('Loan Entry'!$V$71:$V$74,'Loan Entry'!$D$71:$D$74,$C$51,'Loan Entry'!$AB$71:$AB$74,$C39,'Loan Entry'!$M$71:$M$74,'Loans to Cash Flows Wkst'!N$2)</f>
        <v>0</v>
      </c>
      <c r="I56" s="686">
        <f>SUMIFS('Loan Entry'!$V$71:$V$74,'Loan Entry'!$D$71:$D$74,$C$51,'Loan Entry'!$AB$71:$AB$74,"*May*",'Loan Entry'!$M$71:$M$74,'Loans to Cash Flows Wkst'!O$2)</f>
        <v>0</v>
      </c>
      <c r="J56" s="686">
        <f>SUMIFS('Loan Entry'!$V$71:$V$74,'Loan Entry'!$D$71:$D$74,$C$51,'Loan Entry'!$AB$71:$AB$74,"*May*",'Loan Entry'!$M$71:$M$74,'Loans to Cash Flows Wkst'!P$2)</f>
        <v>0</v>
      </c>
      <c r="K56" s="686">
        <f>SUMIFS('Loan Entry'!$V$71:$V$74,'Loan Entry'!$D$71:$D$74,$C$51,'Loan Entry'!$AB$71:$AB$74,"*May*",'Loan Entry'!$M$71:$M$74,'Loans to Cash Flows Wkst'!Q$2)</f>
        <v>0</v>
      </c>
      <c r="M56" s="777" t="s">
        <v>3</v>
      </c>
      <c r="N56" s="686">
        <f>SUMIFS('Loan Entry'!$W$71:$W$74,'Loan Entry'!$D$71:$D$74,$C$51,'Loan Entry'!$AB$71:$AB$74,$C56,'Loan Entry'!$M$71:$M$74,'Loans to Cash Flows Wkst'!N$2)</f>
        <v>0</v>
      </c>
      <c r="O56" s="686">
        <f>SUMIFS('Loan Entry'!$W$71:$W$74,'Loan Entry'!$D$71:$D$74,$C$51,'Loan Entry'!$AB$71:$AB$74,"*May*",'Loan Entry'!$M$71:$M$74,'Loans to Cash Flows Wkst'!O$2)</f>
        <v>0</v>
      </c>
      <c r="P56" s="686">
        <f>SUMIFS('Loan Entry'!$W$71:$W$74,'Loan Entry'!$D$71:$D$74,$C$51,'Loan Entry'!$AB$71:$AB$74,"*May*",'Loan Entry'!$M$71:$M$74,'Loans to Cash Flows Wkst'!P$2)</f>
        <v>0</v>
      </c>
      <c r="Q56" s="686">
        <f>SUMIFS('Loan Entry'!$W$71:$W$74,'Loan Entry'!$D$71:$D$74,$C$51,'Loan Entry'!$AB$71:$AB$74,"*May*",'Loan Entry'!$M$71:$M$74,'Loans to Cash Flows Wkst'!Q$2)</f>
        <v>0</v>
      </c>
    </row>
    <row r="57" spans="2:17" ht="13.5" thickBot="1" x14ac:dyDescent="0.25">
      <c r="B57" s="774" t="s">
        <v>186</v>
      </c>
      <c r="C57" s="797" t="s">
        <v>8</v>
      </c>
      <c r="D57" s="794">
        <f>SUM('Loans to Cash Flows Wkst'!$H57:$K57,'Loans to Cash Flows Wkst'!$N57:$Q57)</f>
        <v>0</v>
      </c>
      <c r="G57" s="802" t="s">
        <v>8</v>
      </c>
      <c r="H57" s="794">
        <f>SUMIFS('Loan Entry'!$V$71:$V$74,'Loan Entry'!$D$71:$D$74,$C$51,'Loan Entry'!$AB$71:$AB$74,$C40,'Loan Entry'!$M$71:$M$74,'Loans to Cash Flows Wkst'!N$2)</f>
        <v>0</v>
      </c>
      <c r="I57" s="687">
        <f>SUMIFS('Loan Entry'!$V$71:$V$74,'Loan Entry'!$D$71:$D$74,$C$51,'Loan Entry'!$AB$71:$AB$74,"*Jun*",'Loan Entry'!$M$71:$M$74,'Loans to Cash Flows Wkst'!O$2)</f>
        <v>0</v>
      </c>
      <c r="J57" s="687">
        <f>SUMIFS('Loan Entry'!$V$71:$V$74,'Loan Entry'!$D$71:$D$74,$C$51,'Loan Entry'!$AB$71:$AB$74,"*Jun*",'Loan Entry'!$M$71:$M$74,'Loans to Cash Flows Wkst'!P$2)</f>
        <v>0</v>
      </c>
      <c r="K57" s="687">
        <f>SUMIFS('Loan Entry'!$V$71:$V$74,'Loan Entry'!$D$71:$D$74,$C$51,'Loan Entry'!$AB$71:$AB$74,"*Jun*",'Loan Entry'!$M$71:$M$74,'Loans to Cash Flows Wkst'!Q$2)</f>
        <v>0</v>
      </c>
      <c r="M57" s="774" t="s">
        <v>8</v>
      </c>
      <c r="N57" s="687">
        <f>SUMIFS('Loan Entry'!$W$71:$W$74,'Loan Entry'!$D$71:$D$74,$C$51,'Loan Entry'!$AB$71:$AB$74,$C57,'Loan Entry'!$M$71:$M$74,'Loans to Cash Flows Wkst'!N$2)</f>
        <v>0</v>
      </c>
      <c r="O57" s="687">
        <f>SUMIFS('Loan Entry'!$W$71:$W$74,'Loan Entry'!$D$71:$D$74,$C$51,'Loan Entry'!$AB$71:$AB$74,"*Jun*",'Loan Entry'!$M$71:$M$74,'Loans to Cash Flows Wkst'!O$2)</f>
        <v>0</v>
      </c>
      <c r="P57" s="687">
        <f>SUMIFS('Loan Entry'!$W$71:$W$74,'Loan Entry'!$D$71:$D$74,$C$51,'Loan Entry'!$AB$71:$AB$74,"*Jun*",'Loan Entry'!$M$71:$M$74,'Loans to Cash Flows Wkst'!P$2)</f>
        <v>0</v>
      </c>
      <c r="Q57" s="687">
        <f>SUMIFS('Loan Entry'!$W$71:$W$74,'Loan Entry'!$D$71:$D$74,$C$51,'Loan Entry'!$AB$71:$AB$74,"*Jun*",'Loan Entry'!$M$71:$M$74,'Loans to Cash Flows Wkst'!Q$2)</f>
        <v>0</v>
      </c>
    </row>
    <row r="58" spans="2:17" ht="13.5" thickBot="1" x14ac:dyDescent="0.25">
      <c r="B58" s="777" t="s">
        <v>187</v>
      </c>
      <c r="C58" s="795" t="s">
        <v>9</v>
      </c>
      <c r="D58" s="796">
        <f>SUM('Loans to Cash Flows Wkst'!$H58:$K58,'Loans to Cash Flows Wkst'!$N58:$Q58)</f>
        <v>0</v>
      </c>
      <c r="G58" s="801" t="s">
        <v>9</v>
      </c>
      <c r="H58" s="796">
        <f>SUMIFS('Loan Entry'!$V$71:$V$74,'Loan Entry'!$D$71:$D$74,$C$51,'Loan Entry'!$AB$71:$AB$74,$C41,'Loan Entry'!$M$71:$M$74,'Loans to Cash Flows Wkst'!N$2)</f>
        <v>0</v>
      </c>
      <c r="I58" s="686">
        <f>SUMIFS('Loan Entry'!$V$71:$V$74,'Loan Entry'!$D$71:$D$74,$C$51,'Loan Entry'!$AB$71:$AB$74,"*Jul*",'Loan Entry'!$M$71:$M$74,'Loans to Cash Flows Wkst'!O$2)</f>
        <v>0</v>
      </c>
      <c r="J58" s="686">
        <f>SUMIFS('Loan Entry'!$V$71:$V$74,'Loan Entry'!$D$71:$D$74,$C$51,'Loan Entry'!$AB$71:$AB$74,"*Jul*",'Loan Entry'!$M$71:$M$74,'Loans to Cash Flows Wkst'!P$2)</f>
        <v>0</v>
      </c>
      <c r="K58" s="686">
        <f>SUMIFS('Loan Entry'!$V$71:$V$74,'Loan Entry'!$D$71:$D$74,$C$51,'Loan Entry'!$AB$71:$AB$74,"*Jul*",'Loan Entry'!$M$71:$M$74,'Loans to Cash Flows Wkst'!Q$2)</f>
        <v>0</v>
      </c>
      <c r="M58" s="777" t="s">
        <v>9</v>
      </c>
      <c r="N58" s="686">
        <f>SUMIFS('Loan Entry'!$W$71:$W$74,'Loan Entry'!$D$71:$D$74,$C$51,'Loan Entry'!$AB$71:$AB$74,$C58,'Loan Entry'!$M$71:$M$74,'Loans to Cash Flows Wkst'!N$2)</f>
        <v>0</v>
      </c>
      <c r="O58" s="686">
        <f>SUMIFS('Loan Entry'!$W$71:$W$74,'Loan Entry'!$D$71:$D$74,$C$51,'Loan Entry'!$AB$71:$AB$74,"*Jul*",'Loan Entry'!$M$71:$M$74,'Loans to Cash Flows Wkst'!O$2)</f>
        <v>0</v>
      </c>
      <c r="P58" s="686">
        <f>SUMIFS('Loan Entry'!$W$71:$W$74,'Loan Entry'!$D$71:$D$74,$C$51,'Loan Entry'!$AB$71:$AB$74,"*Jul*",'Loan Entry'!$M$71:$M$74,'Loans to Cash Flows Wkst'!P$2)</f>
        <v>0</v>
      </c>
      <c r="Q58" s="686">
        <f>SUMIFS('Loan Entry'!$W$71:$W$74,'Loan Entry'!$D$71:$D$74,$C$51,'Loan Entry'!$AB$71:$AB$74,"*Jul*",'Loan Entry'!$M$71:$M$74,'Loans to Cash Flows Wkst'!Q$2)</f>
        <v>0</v>
      </c>
    </row>
    <row r="59" spans="2:17" ht="13.5" thickBot="1" x14ac:dyDescent="0.25">
      <c r="B59" s="774" t="s">
        <v>188</v>
      </c>
      <c r="C59" s="797" t="s">
        <v>10</v>
      </c>
      <c r="D59" s="794">
        <f>SUM('Loans to Cash Flows Wkst'!$H59:$K59,'Loans to Cash Flows Wkst'!$N59:$Q59)</f>
        <v>0</v>
      </c>
      <c r="G59" s="802" t="s">
        <v>10</v>
      </c>
      <c r="H59" s="794">
        <f>SUMIFS('Loan Entry'!$V$71:$V$74,'Loan Entry'!$D$71:$D$74,$C$51,'Loan Entry'!$AB$71:$AB$74,$C42,'Loan Entry'!$M$71:$M$74,'Loans to Cash Flows Wkst'!N$2)</f>
        <v>0</v>
      </c>
      <c r="I59" s="687">
        <f>SUMIFS('Loan Entry'!$V$71:$V$74,'Loan Entry'!$D$71:$D$74,$C$51,'Loan Entry'!$AB$71:$AB$74,"*Aug*",'Loan Entry'!$M$71:$M$74,'Loans to Cash Flows Wkst'!O$2)</f>
        <v>0</v>
      </c>
      <c r="J59" s="687">
        <f>SUMIFS('Loan Entry'!$V$71:$V$74,'Loan Entry'!$D$71:$D$74,$C$51,'Loan Entry'!$AB$71:$AB$74,"*Aug*",'Loan Entry'!$M$71:$M$74,'Loans to Cash Flows Wkst'!P$2)</f>
        <v>0</v>
      </c>
      <c r="K59" s="687">
        <f>SUMIFS('Loan Entry'!$V$71:$V$74,'Loan Entry'!$D$71:$D$74,$C$51,'Loan Entry'!$AB$71:$AB$74,"*Aug*",'Loan Entry'!$M$71:$M$74,'Loans to Cash Flows Wkst'!Q$2)</f>
        <v>0</v>
      </c>
      <c r="M59" s="774" t="s">
        <v>10</v>
      </c>
      <c r="N59" s="687">
        <f>SUMIFS('Loan Entry'!$W$71:$W$74,'Loan Entry'!$D$71:$D$74,$C$51,'Loan Entry'!$AB$71:$AB$74,$C59,'Loan Entry'!$M$71:$M$74,'Loans to Cash Flows Wkst'!N$2)</f>
        <v>0</v>
      </c>
      <c r="O59" s="687">
        <f>SUMIFS('Loan Entry'!$W$71:$W$74,'Loan Entry'!$D$71:$D$74,$C$51,'Loan Entry'!$AB$71:$AB$74,"*Aug*",'Loan Entry'!$M$71:$M$74,'Loans to Cash Flows Wkst'!O$2)</f>
        <v>0</v>
      </c>
      <c r="P59" s="687">
        <f>SUMIFS('Loan Entry'!$W$71:$W$74,'Loan Entry'!$D$71:$D$74,$C$51,'Loan Entry'!$AB$71:$AB$74,"*Aug*",'Loan Entry'!$M$71:$M$74,'Loans to Cash Flows Wkst'!P$2)</f>
        <v>0</v>
      </c>
      <c r="Q59" s="687">
        <f>SUMIFS('Loan Entry'!$W$71:$W$74,'Loan Entry'!$D$71:$D$74,$C$51,'Loan Entry'!$AB$71:$AB$74,"*Aug*",'Loan Entry'!$M$71:$M$74,'Loans to Cash Flows Wkst'!Q$2)</f>
        <v>0</v>
      </c>
    </row>
    <row r="60" spans="2:17" ht="13.5" thickBot="1" x14ac:dyDescent="0.25">
      <c r="B60" s="777" t="s">
        <v>189</v>
      </c>
      <c r="C60" s="795" t="s">
        <v>11</v>
      </c>
      <c r="D60" s="796">
        <f>SUM('Loans to Cash Flows Wkst'!$H60:$K60,'Loans to Cash Flows Wkst'!$N60:$Q60)</f>
        <v>0</v>
      </c>
      <c r="G60" s="801" t="s">
        <v>11</v>
      </c>
      <c r="H60" s="796">
        <f>SUMIFS('Loan Entry'!$V$71:$V$74,'Loan Entry'!$D$71:$D$74,$C$51,'Loan Entry'!$AB$71:$AB$74,$C43,'Loan Entry'!$M$71:$M$74,'Loans to Cash Flows Wkst'!N$2)</f>
        <v>0</v>
      </c>
      <c r="I60" s="686">
        <f>SUMIFS('Loan Entry'!$V$71:$V$74,'Loan Entry'!$D$71:$D$74,$C$51,'Loan Entry'!$AB$71:$AB$74,"*Sep*",'Loan Entry'!$M$71:$M$74,'Loans to Cash Flows Wkst'!O$2)</f>
        <v>0</v>
      </c>
      <c r="J60" s="686">
        <f>SUMIFS('Loan Entry'!$V$71:$V$74,'Loan Entry'!$D$71:$D$74,$C$51,'Loan Entry'!$AB$71:$AB$74,"*Sep*",'Loan Entry'!$M$71:$M$74,'Loans to Cash Flows Wkst'!P$2)</f>
        <v>0</v>
      </c>
      <c r="K60" s="686">
        <f>SUMIFS('Loan Entry'!$V$71:$V$74,'Loan Entry'!$D$71:$D$74,$C$51,'Loan Entry'!$AB$71:$AB$74,"*Sep*",'Loan Entry'!$M$71:$M$74,'Loans to Cash Flows Wkst'!Q$2)</f>
        <v>0</v>
      </c>
      <c r="M60" s="777" t="s">
        <v>11</v>
      </c>
      <c r="N60" s="686">
        <f>SUMIFS('Loan Entry'!$W$71:$W$74,'Loan Entry'!$D$71:$D$74,$C$51,'Loan Entry'!$AB$71:$AB$74,$C60,'Loan Entry'!$M$71:$M$74,'Loans to Cash Flows Wkst'!N$2)</f>
        <v>0</v>
      </c>
      <c r="O60" s="686">
        <f>SUMIFS('Loan Entry'!$W$71:$W$74,'Loan Entry'!$D$71:$D$74,$C$51,'Loan Entry'!$AB$71:$AB$74,"*Sep*",'Loan Entry'!$M$71:$M$74,'Loans to Cash Flows Wkst'!O$2)</f>
        <v>0</v>
      </c>
      <c r="P60" s="686">
        <f>SUMIFS('Loan Entry'!$W$71:$W$74,'Loan Entry'!$D$71:$D$74,$C$51,'Loan Entry'!$AB$71:$AB$74,"*Sep*",'Loan Entry'!$M$71:$M$74,'Loans to Cash Flows Wkst'!P$2)</f>
        <v>0</v>
      </c>
      <c r="Q60" s="686">
        <f>SUMIFS('Loan Entry'!$W$71:$W$74,'Loan Entry'!$D$71:$D$74,$C$51,'Loan Entry'!$AB$71:$AB$74,"*Sep*",'Loan Entry'!$M$71:$M$74,'Loans to Cash Flows Wkst'!Q$2)</f>
        <v>0</v>
      </c>
    </row>
    <row r="61" spans="2:17" ht="13.5" thickBot="1" x14ac:dyDescent="0.25">
      <c r="B61" s="774" t="s">
        <v>190</v>
      </c>
      <c r="C61" s="797" t="s">
        <v>12</v>
      </c>
      <c r="D61" s="794">
        <f>SUM('Loans to Cash Flows Wkst'!$H61:$K61,'Loans to Cash Flows Wkst'!$N61:$Q61)</f>
        <v>0</v>
      </c>
      <c r="G61" s="802" t="s">
        <v>12</v>
      </c>
      <c r="H61" s="794">
        <f>SUMIFS('Loan Entry'!$V$71:$V$74,'Loan Entry'!$D$71:$D$74,$C$51,'Loan Entry'!$AB$71:$AB$74,$C44,'Loan Entry'!$M$71:$M$74,'Loans to Cash Flows Wkst'!N$2)</f>
        <v>0</v>
      </c>
      <c r="I61" s="687">
        <f>SUMIFS('Loan Entry'!$V$71:$V$74,'Loan Entry'!$D$71:$D$74,$C$51,'Loan Entry'!$AB$71:$AB$74,"*Oct*",'Loan Entry'!$M$71:$M$74,'Loans to Cash Flows Wkst'!O$2)</f>
        <v>0</v>
      </c>
      <c r="J61" s="687">
        <f>SUMIFS('Loan Entry'!$V$71:$V$74,'Loan Entry'!$D$71:$D$74,$C$51,'Loan Entry'!$AB$71:$AB$74,"*Oct*",'Loan Entry'!$M$71:$M$74,'Loans to Cash Flows Wkst'!P$2)</f>
        <v>0</v>
      </c>
      <c r="K61" s="687">
        <f>SUMIFS('Loan Entry'!$V$71:$V$74,'Loan Entry'!$D$71:$D$74,$C$51,'Loan Entry'!$AB$71:$AB$74,"*Oct*",'Loan Entry'!$M$71:$M$74,'Loans to Cash Flows Wkst'!Q$2)</f>
        <v>0</v>
      </c>
      <c r="M61" s="774" t="s">
        <v>12</v>
      </c>
      <c r="N61" s="687">
        <f>SUMIFS('Loan Entry'!$W$71:$W$74,'Loan Entry'!$D$71:$D$74,$C$51,'Loan Entry'!$AB$71:$AB$74,$C61,'Loan Entry'!$M$71:$M$74,'Loans to Cash Flows Wkst'!N$2)</f>
        <v>0</v>
      </c>
      <c r="O61" s="687">
        <f>SUMIFS('Loan Entry'!$W$71:$W$74,'Loan Entry'!$D$71:$D$74,$C$51,'Loan Entry'!$AB$71:$AB$74,"*Oct*",'Loan Entry'!$M$71:$M$74,'Loans to Cash Flows Wkst'!O$2)</f>
        <v>0</v>
      </c>
      <c r="P61" s="687">
        <f>SUMIFS('Loan Entry'!$W$71:$W$74,'Loan Entry'!$D$71:$D$74,$C$51,'Loan Entry'!$AB$71:$AB$74,"*Oct*",'Loan Entry'!$M$71:$M$74,'Loans to Cash Flows Wkst'!P$2)</f>
        <v>0</v>
      </c>
      <c r="Q61" s="687">
        <f>SUMIFS('Loan Entry'!$W$71:$W$74,'Loan Entry'!$D$71:$D$74,$C$51,'Loan Entry'!$AB$71:$AB$74,"*Oct*",'Loan Entry'!$M$71:$M$74,'Loans to Cash Flows Wkst'!Q$2)</f>
        <v>0</v>
      </c>
    </row>
    <row r="62" spans="2:17" ht="13.5" thickBot="1" x14ac:dyDescent="0.25">
      <c r="B62" s="777" t="s">
        <v>191</v>
      </c>
      <c r="C62" s="795" t="s">
        <v>13</v>
      </c>
      <c r="D62" s="796">
        <f>SUM('Loans to Cash Flows Wkst'!$H62:$K62,'Loans to Cash Flows Wkst'!$N62:$Q62)</f>
        <v>0</v>
      </c>
      <c r="G62" s="801" t="s">
        <v>13</v>
      </c>
      <c r="H62" s="796">
        <f>SUMIFS('Loan Entry'!$V$71:$V$74,'Loan Entry'!$D$71:$D$74,$C$51,'Loan Entry'!$AB$71:$AB$74,$C45,'Loan Entry'!$M$71:$M$74,'Loans to Cash Flows Wkst'!N$2)</f>
        <v>0</v>
      </c>
      <c r="I62" s="686">
        <f>SUMIFS('Loan Entry'!$V$71:$V$74,'Loan Entry'!$D$71:$D$74,$C$51,'Loan Entry'!$AB$71:$AB$74,"*Nov*",'Loan Entry'!$M$71:$M$74,'Loans to Cash Flows Wkst'!O$2)</f>
        <v>0</v>
      </c>
      <c r="J62" s="686">
        <f>SUMIFS('Loan Entry'!$V$71:$V$74,'Loan Entry'!$D$71:$D$74,$C$51,'Loan Entry'!$AB$71:$AB$74,"*Nov*",'Loan Entry'!$M$71:$M$74,'Loans to Cash Flows Wkst'!P$2)</f>
        <v>0</v>
      </c>
      <c r="K62" s="686">
        <f>SUMIFS('Loan Entry'!$V$71:$V$74,'Loan Entry'!$D$71:$D$74,$C$51,'Loan Entry'!$AB$71:$AB$74,"*Nov*",'Loan Entry'!$M$71:$M$74,'Loans to Cash Flows Wkst'!Q$2)</f>
        <v>0</v>
      </c>
      <c r="M62" s="777" t="s">
        <v>13</v>
      </c>
      <c r="N62" s="686">
        <f>SUMIFS('Loan Entry'!$W$71:$W$74,'Loan Entry'!$D$71:$D$74,$C$51,'Loan Entry'!$AB$71:$AB$74,$C62,'Loan Entry'!$M$71:$M$74,'Loans to Cash Flows Wkst'!N$2)</f>
        <v>0</v>
      </c>
      <c r="O62" s="686">
        <f>SUMIFS('Loan Entry'!$W$71:$W$74,'Loan Entry'!$D$71:$D$74,$C$51,'Loan Entry'!$AB$71:$AB$74,"*Nov*",'Loan Entry'!$M$71:$M$74,'Loans to Cash Flows Wkst'!O$2)</f>
        <v>0</v>
      </c>
      <c r="P62" s="686">
        <f>SUMIFS('Loan Entry'!$W$71:$W$74,'Loan Entry'!$D$71:$D$74,$C$51,'Loan Entry'!$AB$71:$AB$74,"*Nov*",'Loan Entry'!$M$71:$M$74,'Loans to Cash Flows Wkst'!P$2)</f>
        <v>0</v>
      </c>
      <c r="Q62" s="686">
        <f>SUMIFS('Loan Entry'!$W$71:$W$74,'Loan Entry'!$D$71:$D$74,$C$51,'Loan Entry'!$AB$71:$AB$74,"*Nov*",'Loan Entry'!$M$71:$M$74,'Loans to Cash Flows Wkst'!Q$2)</f>
        <v>0</v>
      </c>
    </row>
    <row r="63" spans="2:17" ht="13.5" thickBot="1" x14ac:dyDescent="0.25">
      <c r="B63" s="774" t="s">
        <v>192</v>
      </c>
      <c r="C63" s="797" t="s">
        <v>14</v>
      </c>
      <c r="D63" s="798">
        <f>SUM('Loans to Cash Flows Wkst'!$H63:$K63,'Loans to Cash Flows Wkst'!$N63:$Q63)</f>
        <v>0</v>
      </c>
      <c r="G63" s="802" t="s">
        <v>14</v>
      </c>
      <c r="H63" s="798">
        <f>SUMIFS('Loan Entry'!$V$71:$V$74,'Loan Entry'!$D$71:$D$74,$C$51,'Loan Entry'!$AB$71:$AB$74,$C46,'Loan Entry'!$M$71:$M$74,'Loans to Cash Flows Wkst'!N$2)</f>
        <v>0</v>
      </c>
      <c r="I63" s="687">
        <f>SUMIFS('Loan Entry'!$V$71:$V$74,'Loan Entry'!$D$71:$D$74,$C$51,'Loan Entry'!$AB$71:$AB$74,"*Dec*",'Loan Entry'!$M$71:$M$74,'Loans to Cash Flows Wkst'!O$2)</f>
        <v>0</v>
      </c>
      <c r="J63" s="687">
        <f>SUMIFS('Loan Entry'!$V$71:$V$74,'Loan Entry'!$D$71:$D$74,$C$51,'Loan Entry'!$AB$71:$AB$74,"*Dec*",'Loan Entry'!$M$71:$M$74,'Loans to Cash Flows Wkst'!P$2)</f>
        <v>0</v>
      </c>
      <c r="K63" s="687">
        <f>SUMIFS('Loan Entry'!$V$71:$V$74,'Loan Entry'!$D$71:$D$74,$C$51,'Loan Entry'!$AB$71:$AB$74,"*Dec*",'Loan Entry'!$M$71:$M$74,'Loans to Cash Flows Wkst'!Q$2)</f>
        <v>0</v>
      </c>
      <c r="M63" s="774" t="s">
        <v>14</v>
      </c>
      <c r="N63" s="687">
        <f>SUMIFS('Loan Entry'!$W$71:$W$74,'Loan Entry'!$D$71:$D$74,$C$51,'Loan Entry'!$AB$71:$AB$74,$C63,'Loan Entry'!$M$71:$M$74,'Loans to Cash Flows Wkst'!N$2)</f>
        <v>0</v>
      </c>
      <c r="O63" s="687">
        <f>SUMIFS('Loan Entry'!$W$71:$W$74,'Loan Entry'!$D$71:$D$74,$C$51,'Loan Entry'!$AB$71:$AB$74,"*Dec*",'Loan Entry'!$M$71:$M$74,'Loans to Cash Flows Wkst'!O$2)</f>
        <v>0</v>
      </c>
      <c r="P63" s="687">
        <f>SUMIFS('Loan Entry'!$W$71:$W$74,'Loan Entry'!$D$71:$D$74,$C$51,'Loan Entry'!$AB$71:$AB$74,"*Dec*",'Loan Entry'!$M$71:$M$74,'Loans to Cash Flows Wkst'!P$2)</f>
        <v>0</v>
      </c>
      <c r="Q63" s="687">
        <f>SUMIFS('Loan Entry'!$W$71:$W$74,'Loan Entry'!$D$71:$D$74,$C$51,'Loan Entry'!$AB$71:$AB$74,"*Dec*",'Loan Entry'!$M$71:$M$74,'Loans to Cash Flows Wkst'!Q$2)</f>
        <v>0</v>
      </c>
    </row>
    <row r="64" spans="2:17" ht="13.5" thickTop="1" x14ac:dyDescent="0.2">
      <c r="B64" s="781"/>
      <c r="C64" s="799"/>
      <c r="D64" s="783">
        <f>SUM('Loans to Cash Flows Wkst'!$D$52:$D$63)</f>
        <v>0</v>
      </c>
      <c r="G64" s="786"/>
      <c r="H64" s="769">
        <f>SUM('Loans to Cash Flows Wkst'!$H$52:$H$63)</f>
        <v>0</v>
      </c>
      <c r="I64" s="769">
        <f>SUM('Loans to Cash Flows Wkst'!$I$52:$I$63)</f>
        <v>0</v>
      </c>
      <c r="J64" s="769">
        <f>SUM('Loans to Cash Flows Wkst'!$J$52:$J$63)</f>
        <v>0</v>
      </c>
      <c r="K64" s="769">
        <f>SUM('Loans to Cash Flows Wkst'!$K$52:$K$63)</f>
        <v>0</v>
      </c>
      <c r="M64" s="786"/>
      <c r="N64" s="769">
        <f>SUM('Loans to Cash Flows Wkst'!$N$52:$N$63)</f>
        <v>0</v>
      </c>
      <c r="O64" s="769">
        <f>SUM('Loans to Cash Flows Wkst'!$O$52:$O$63)</f>
        <v>0</v>
      </c>
      <c r="P64" s="769">
        <f>SUM('Loans to Cash Flows Wkst'!$P$52:$P$63)</f>
        <v>0</v>
      </c>
      <c r="Q64" s="769">
        <f>SUM('Loans to Cash Flows Wkst'!$Q$52:$Q$63)</f>
        <v>0</v>
      </c>
    </row>
    <row r="67" spans="1:11" x14ac:dyDescent="0.2">
      <c r="A67" s="57" t="s">
        <v>207</v>
      </c>
    </row>
    <row r="68" spans="1:11" ht="13.5" thickBot="1" x14ac:dyDescent="0.25">
      <c r="B68" s="407" t="s">
        <v>125</v>
      </c>
      <c r="C68" s="408" t="s">
        <v>405</v>
      </c>
      <c r="D68" s="408" t="s">
        <v>175</v>
      </c>
      <c r="E68" s="408" t="s">
        <v>176</v>
      </c>
      <c r="G68" s="407" t="s">
        <v>196</v>
      </c>
      <c r="H68" s="408" t="s">
        <v>177</v>
      </c>
      <c r="I68" s="57"/>
      <c r="J68" s="407" t="s">
        <v>196</v>
      </c>
      <c r="K68" s="408" t="s">
        <v>177</v>
      </c>
    </row>
    <row r="69" spans="1:11" ht="13.5" thickTop="1" x14ac:dyDescent="0.2">
      <c r="B69" s="771" t="s">
        <v>182</v>
      </c>
      <c r="C69" s="772" t="s">
        <v>4</v>
      </c>
      <c r="D69" s="773">
        <f>'Loans to Cash Flows Wkst'!$H69</f>
        <v>0</v>
      </c>
      <c r="E69" s="693">
        <f>'Loans to Cash Flows Wkst'!$K69</f>
        <v>0</v>
      </c>
      <c r="G69" s="784" t="s">
        <v>4</v>
      </c>
      <c r="H69" s="693">
        <f>SUMIFS('Loan Entry'!$AE$5:$AE$10,'Loan Entry'!$D$5:$D$10,$C$2,'Loan Entry'!$AB$5:$AB$10,$C69)</f>
        <v>0</v>
      </c>
      <c r="J69" s="784" t="s">
        <v>4</v>
      </c>
      <c r="K69" s="693">
        <f>SUMIFS('Loan Entry'!$AC$5:$AC$10,'Loan Entry'!$D$5:$D$10,$C$2,'Loan Entry'!$AB$5:$AB$10,$C69)</f>
        <v>0</v>
      </c>
    </row>
    <row r="70" spans="1:11" x14ac:dyDescent="0.2">
      <c r="B70" s="774" t="s">
        <v>183</v>
      </c>
      <c r="C70" s="775" t="s">
        <v>5</v>
      </c>
      <c r="D70" s="776">
        <f>'Loans to Cash Flows Wkst'!$H70</f>
        <v>0</v>
      </c>
      <c r="E70" s="687">
        <f>'Loans to Cash Flows Wkst'!$K70</f>
        <v>0</v>
      </c>
      <c r="G70" s="785" t="s">
        <v>5</v>
      </c>
      <c r="H70" s="687">
        <f>SUMIFS('Loan Entry'!$AE$5:$AE$10,'Loan Entry'!$D$5:$D$10,$C$2,'Loan Entry'!$AB$5:$AB$10,$C70)</f>
        <v>0</v>
      </c>
      <c r="J70" s="785" t="s">
        <v>5</v>
      </c>
      <c r="K70" s="687">
        <f>SUMIFS('Loan Entry'!$AC$5:$AC$10,'Loan Entry'!$D$5:$D$10,$C$2,'Loan Entry'!$AB$5:$AB$10,$C70)</f>
        <v>0</v>
      </c>
    </row>
    <row r="71" spans="1:11" x14ac:dyDescent="0.2">
      <c r="B71" s="777" t="s">
        <v>184</v>
      </c>
      <c r="C71" s="778" t="s">
        <v>6</v>
      </c>
      <c r="D71" s="779">
        <f>'Loans to Cash Flows Wkst'!$H71</f>
        <v>0</v>
      </c>
      <c r="E71" s="686">
        <f>'Loans to Cash Flows Wkst'!$K71</f>
        <v>0</v>
      </c>
      <c r="G71" s="777" t="s">
        <v>6</v>
      </c>
      <c r="H71" s="686">
        <f>SUMIFS('Loan Entry'!$AE$5:$AE$10,'Loan Entry'!$D$5:$D$10,$C$2,'Loan Entry'!$AB$5:$AB$10,$C71)</f>
        <v>0</v>
      </c>
      <c r="J71" s="777" t="s">
        <v>6</v>
      </c>
      <c r="K71" s="686">
        <f>SUMIFS('Loan Entry'!$AC$5:$AC$10,'Loan Entry'!$D$5:$D$10,$C$2,'Loan Entry'!$AB$5:$AB$10,$C71)</f>
        <v>0</v>
      </c>
    </row>
    <row r="72" spans="1:11" x14ac:dyDescent="0.2">
      <c r="B72" s="774" t="s">
        <v>185</v>
      </c>
      <c r="C72" s="780" t="s">
        <v>7</v>
      </c>
      <c r="D72" s="776">
        <f>'Loans to Cash Flows Wkst'!$H72</f>
        <v>0</v>
      </c>
      <c r="E72" s="687">
        <f>'Loans to Cash Flows Wkst'!$K72</f>
        <v>0</v>
      </c>
      <c r="G72" s="774" t="s">
        <v>7</v>
      </c>
      <c r="H72" s="687">
        <f>SUMIFS('Loan Entry'!$AE$5:$AE$10,'Loan Entry'!$D$5:$D$10,$C$2,'Loan Entry'!$AB$5:$AB$10,$C72)</f>
        <v>0</v>
      </c>
      <c r="J72" s="774" t="s">
        <v>7</v>
      </c>
      <c r="K72" s="687">
        <f>SUMIFS('Loan Entry'!$AC$5:$AC$10,'Loan Entry'!$D$5:$D$10,$C$2,'Loan Entry'!$AB$5:$AB$10,$C72)</f>
        <v>0</v>
      </c>
    </row>
    <row r="73" spans="1:11" x14ac:dyDescent="0.2">
      <c r="B73" s="777" t="s">
        <v>3</v>
      </c>
      <c r="C73" s="778" t="s">
        <v>3</v>
      </c>
      <c r="D73" s="779">
        <f>'Loans to Cash Flows Wkst'!$H73</f>
        <v>0</v>
      </c>
      <c r="E73" s="686">
        <f>'Loans to Cash Flows Wkst'!$K73</f>
        <v>0</v>
      </c>
      <c r="G73" s="777" t="s">
        <v>3</v>
      </c>
      <c r="H73" s="686">
        <f>SUMIFS('Loan Entry'!$AE$5:$AE$10,'Loan Entry'!$D$5:$D$10,$C$2,'Loan Entry'!$AB$5:$AB$10,$C73)</f>
        <v>0</v>
      </c>
      <c r="J73" s="777" t="s">
        <v>3</v>
      </c>
      <c r="K73" s="686">
        <f>SUMIFS('Loan Entry'!$AC$5:$AC$10,'Loan Entry'!$D$5:$D$10,$C$2,'Loan Entry'!$AB$5:$AB$10,$C73)</f>
        <v>0</v>
      </c>
    </row>
    <row r="74" spans="1:11" x14ac:dyDescent="0.2">
      <c r="B74" s="774" t="s">
        <v>186</v>
      </c>
      <c r="C74" s="780" t="s">
        <v>8</v>
      </c>
      <c r="D74" s="776">
        <f>'Loans to Cash Flows Wkst'!$H74</f>
        <v>0</v>
      </c>
      <c r="E74" s="687">
        <f>'Loans to Cash Flows Wkst'!$K74</f>
        <v>0</v>
      </c>
      <c r="G74" s="774" t="s">
        <v>8</v>
      </c>
      <c r="H74" s="687">
        <f>SUMIFS('Loan Entry'!$AE$5:$AE$10,'Loan Entry'!$D$5:$D$10,$C$2,'Loan Entry'!$AB$5:$AB$10,$C74)</f>
        <v>0</v>
      </c>
      <c r="J74" s="774" t="s">
        <v>8</v>
      </c>
      <c r="K74" s="687">
        <f>SUMIFS('Loan Entry'!$AC$5:$AC$10,'Loan Entry'!$D$5:$D$10,$C$2,'Loan Entry'!$AB$5:$AB$10,$C74)</f>
        <v>0</v>
      </c>
    </row>
    <row r="75" spans="1:11" x14ac:dyDescent="0.2">
      <c r="B75" s="777" t="s">
        <v>187</v>
      </c>
      <c r="C75" s="778" t="s">
        <v>9</v>
      </c>
      <c r="D75" s="779">
        <f>'Loans to Cash Flows Wkst'!$H75</f>
        <v>0</v>
      </c>
      <c r="E75" s="686">
        <f>'Loans to Cash Flows Wkst'!$K75</f>
        <v>0</v>
      </c>
      <c r="G75" s="777" t="s">
        <v>9</v>
      </c>
      <c r="H75" s="686">
        <f>SUMIFS('Loan Entry'!$AE$5:$AE$10,'Loan Entry'!$D$5:$D$10,$C$2,'Loan Entry'!$AB$5:$AB$10,$C75)</f>
        <v>0</v>
      </c>
      <c r="J75" s="777" t="s">
        <v>9</v>
      </c>
      <c r="K75" s="686">
        <f>SUMIFS('Loan Entry'!$AC$5:$AC$10,'Loan Entry'!$D$5:$D$10,$C$2,'Loan Entry'!$AB$5:$AB$10,$C75)</f>
        <v>0</v>
      </c>
    </row>
    <row r="76" spans="1:11" x14ac:dyDescent="0.2">
      <c r="B76" s="774" t="s">
        <v>188</v>
      </c>
      <c r="C76" s="780" t="s">
        <v>10</v>
      </c>
      <c r="D76" s="776">
        <f>'Loans to Cash Flows Wkst'!$H76</f>
        <v>0</v>
      </c>
      <c r="E76" s="687">
        <f>'Loans to Cash Flows Wkst'!$K76</f>
        <v>0</v>
      </c>
      <c r="G76" s="774" t="s">
        <v>10</v>
      </c>
      <c r="H76" s="687">
        <f>SUMIFS('Loan Entry'!$AE$5:$AE$10,'Loan Entry'!$D$5:$D$10,$C$2,'Loan Entry'!$AB$5:$AB$10,$C76)</f>
        <v>0</v>
      </c>
      <c r="J76" s="774" t="s">
        <v>10</v>
      </c>
      <c r="K76" s="687">
        <f>SUMIFS('Loan Entry'!$AC$5:$AC$10,'Loan Entry'!$D$5:$D$10,$C$2,'Loan Entry'!$AB$5:$AB$10,$C76)</f>
        <v>0</v>
      </c>
    </row>
    <row r="77" spans="1:11" x14ac:dyDescent="0.2">
      <c r="B77" s="777" t="s">
        <v>189</v>
      </c>
      <c r="C77" s="778" t="s">
        <v>11</v>
      </c>
      <c r="D77" s="779">
        <f>'Loans to Cash Flows Wkst'!$H77</f>
        <v>0</v>
      </c>
      <c r="E77" s="686">
        <f>'Loans to Cash Flows Wkst'!$K77</f>
        <v>0</v>
      </c>
      <c r="G77" s="777" t="s">
        <v>11</v>
      </c>
      <c r="H77" s="686">
        <f>SUMIFS('Loan Entry'!$AE$5:$AE$10,'Loan Entry'!$D$5:$D$10,$C$2,'Loan Entry'!$AB$5:$AB$10,$C77)</f>
        <v>0</v>
      </c>
      <c r="J77" s="777" t="s">
        <v>11</v>
      </c>
      <c r="K77" s="686">
        <f>SUMIFS('Loan Entry'!$AC$5:$AC$10,'Loan Entry'!$D$5:$D$10,$C$2,'Loan Entry'!$AB$5:$AB$10,$C77)</f>
        <v>0</v>
      </c>
    </row>
    <row r="78" spans="1:11" x14ac:dyDescent="0.2">
      <c r="B78" s="774" t="s">
        <v>190</v>
      </c>
      <c r="C78" s="780" t="s">
        <v>12</v>
      </c>
      <c r="D78" s="776">
        <f>'Loans to Cash Flows Wkst'!$H78</f>
        <v>0</v>
      </c>
      <c r="E78" s="687">
        <f>'Loans to Cash Flows Wkst'!$K78</f>
        <v>0</v>
      </c>
      <c r="G78" s="774" t="s">
        <v>12</v>
      </c>
      <c r="H78" s="687">
        <f>SUMIFS('Loan Entry'!$AE$5:$AE$10,'Loan Entry'!$D$5:$D$10,$C$2,'Loan Entry'!$AB$5:$AB$10,$C78)</f>
        <v>0</v>
      </c>
      <c r="J78" s="774" t="s">
        <v>12</v>
      </c>
      <c r="K78" s="687">
        <f>SUMIFS('Loan Entry'!$AC$5:$AC$10,'Loan Entry'!$D$5:$D$10,$C$2,'Loan Entry'!$AB$5:$AB$10,$C78)</f>
        <v>0</v>
      </c>
    </row>
    <row r="79" spans="1:11" x14ac:dyDescent="0.2">
      <c r="B79" s="777" t="s">
        <v>191</v>
      </c>
      <c r="C79" s="778" t="s">
        <v>13</v>
      </c>
      <c r="D79" s="779">
        <f>'Loans to Cash Flows Wkst'!$H79</f>
        <v>0</v>
      </c>
      <c r="E79" s="686">
        <f>'Loans to Cash Flows Wkst'!$K79</f>
        <v>0</v>
      </c>
      <c r="G79" s="777" t="s">
        <v>13</v>
      </c>
      <c r="H79" s="686">
        <f>SUMIFS('Loan Entry'!$AE$5:$AE$10,'Loan Entry'!$D$5:$D$10,$C$2,'Loan Entry'!$AB$5:$AB$10,$C79)</f>
        <v>0</v>
      </c>
      <c r="J79" s="777" t="s">
        <v>13</v>
      </c>
      <c r="K79" s="686">
        <f>SUMIFS('Loan Entry'!$AC$5:$AC$10,'Loan Entry'!$D$5:$D$10,$C$2,'Loan Entry'!$AB$5:$AB$10,$C79)</f>
        <v>0</v>
      </c>
    </row>
    <row r="80" spans="1:11" ht="13.5" thickBot="1" x14ac:dyDescent="0.25">
      <c r="B80" s="774" t="s">
        <v>192</v>
      </c>
      <c r="C80" s="780" t="s">
        <v>14</v>
      </c>
      <c r="D80" s="776">
        <f>'Loans to Cash Flows Wkst'!$H80</f>
        <v>0</v>
      </c>
      <c r="E80" s="687">
        <f>'Loans to Cash Flows Wkst'!$K80</f>
        <v>0</v>
      </c>
      <c r="G80" s="774" t="s">
        <v>14</v>
      </c>
      <c r="H80" s="687">
        <f>SUMIFS('Loan Entry'!$AE$5:$AE$10,'Loan Entry'!$D$5:$D$10,$C$2,'Loan Entry'!$AB$5:$AB$10,$C80)</f>
        <v>0</v>
      </c>
      <c r="J80" s="774" t="s">
        <v>14</v>
      </c>
      <c r="K80" s="687">
        <f>SUMIFS('Loan Entry'!$AC$5:$AC$10,'Loan Entry'!$D$5:$D$10,$C$2,'Loan Entry'!$AB$5:$AB$10,$C80)</f>
        <v>0</v>
      </c>
    </row>
    <row r="81" spans="2:11" ht="13.5" thickTop="1" x14ac:dyDescent="0.2">
      <c r="B81" s="781"/>
      <c r="C81" s="782"/>
      <c r="D81" s="783">
        <f>SUM('Loans to Cash Flows Wkst'!$D$69:$D$80)</f>
        <v>0</v>
      </c>
      <c r="E81" s="769">
        <f>SUM('Loans to Cash Flows Wkst'!$E$69:$E$80)</f>
        <v>0</v>
      </c>
      <c r="G81" s="786"/>
      <c r="H81" s="770">
        <f>SUM('Loans to Cash Flows Wkst'!$H$69:$H$80)</f>
        <v>0</v>
      </c>
      <c r="J81" s="786"/>
      <c r="K81" s="770">
        <f>SUM('Loans to Cash Flows Wkst'!$K$69:$K$80)</f>
        <v>0</v>
      </c>
    </row>
    <row r="84" spans="2:11" ht="13.5" thickBot="1" x14ac:dyDescent="0.25">
      <c r="B84" s="407" t="s">
        <v>125</v>
      </c>
      <c r="C84" s="408" t="s">
        <v>173</v>
      </c>
      <c r="D84" s="408" t="s">
        <v>175</v>
      </c>
      <c r="E84" s="408" t="s">
        <v>176</v>
      </c>
      <c r="G84" s="407" t="s">
        <v>196</v>
      </c>
      <c r="H84" s="408" t="s">
        <v>177</v>
      </c>
      <c r="I84" s="57"/>
      <c r="J84" s="407" t="s">
        <v>196</v>
      </c>
      <c r="K84" s="408" t="s">
        <v>177</v>
      </c>
    </row>
    <row r="85" spans="2:11" ht="13.5" thickTop="1" x14ac:dyDescent="0.2">
      <c r="B85" s="771" t="s">
        <v>182</v>
      </c>
      <c r="C85" s="772" t="s">
        <v>4</v>
      </c>
      <c r="D85" s="693">
        <f>'Loans to Cash Flows Wkst'!$H85</f>
        <v>0</v>
      </c>
      <c r="E85" s="693">
        <f>'Loans to Cash Flows Wkst'!$K85</f>
        <v>0</v>
      </c>
      <c r="G85" s="784" t="s">
        <v>4</v>
      </c>
      <c r="H85" s="693">
        <f>SUMIFS('Loan Entry'!$AE$5:$AE$10,'Loan Entry'!$D$5:$D$10,$C$18,'Loan Entry'!$AB$5:$AB$10,$C85)</f>
        <v>0</v>
      </c>
      <c r="J85" s="784" t="s">
        <v>4</v>
      </c>
      <c r="K85" s="693">
        <f>SUMIFS('Loan Entry'!$AC$5:$AC$10,'Loan Entry'!$D$5:$D$10,$C$18,'Loan Entry'!$AB$5:$AB$10,$C85)</f>
        <v>0</v>
      </c>
    </row>
    <row r="86" spans="2:11" x14ac:dyDescent="0.2">
      <c r="B86" s="774" t="s">
        <v>183</v>
      </c>
      <c r="C86" s="775" t="s">
        <v>5</v>
      </c>
      <c r="D86" s="687">
        <f>'Loans to Cash Flows Wkst'!$H86</f>
        <v>0</v>
      </c>
      <c r="E86" s="687">
        <f>'Loans to Cash Flows Wkst'!$K86</f>
        <v>0</v>
      </c>
      <c r="G86" s="785" t="s">
        <v>5</v>
      </c>
      <c r="H86" s="687">
        <f>SUMIFS('Loan Entry'!$AE$5:$AE$10,'Loan Entry'!$D$5:$D$10,$C$18,'Loan Entry'!$AB$5:$AB$10,$C86)</f>
        <v>0</v>
      </c>
      <c r="J86" s="785" t="s">
        <v>5</v>
      </c>
      <c r="K86" s="687">
        <f>SUMIFS('Loan Entry'!$AC$5:$AC$10,'Loan Entry'!$D$5:$D$10,$C$18,'Loan Entry'!$AB$5:$AB$10,$C86)</f>
        <v>0</v>
      </c>
    </row>
    <row r="87" spans="2:11" x14ac:dyDescent="0.2">
      <c r="B87" s="777" t="s">
        <v>184</v>
      </c>
      <c r="C87" s="778" t="s">
        <v>6</v>
      </c>
      <c r="D87" s="686">
        <f>'Loans to Cash Flows Wkst'!$H87</f>
        <v>0</v>
      </c>
      <c r="E87" s="686">
        <f>'Loans to Cash Flows Wkst'!$K87</f>
        <v>0</v>
      </c>
      <c r="G87" s="777" t="s">
        <v>6</v>
      </c>
      <c r="H87" s="686">
        <f>SUMIFS('Loan Entry'!$AE$5:$AE$10,'Loan Entry'!$D$5:$D$10,$C$18,'Loan Entry'!$AB$5:$AB$10,$C87)</f>
        <v>0</v>
      </c>
      <c r="J87" s="777" t="s">
        <v>6</v>
      </c>
      <c r="K87" s="686">
        <f>SUMIFS('Loan Entry'!$AC$5:$AC$10,'Loan Entry'!$D$5:$D$10,$C$18,'Loan Entry'!$AB$5:$AB$10,$C87)</f>
        <v>0</v>
      </c>
    </row>
    <row r="88" spans="2:11" x14ac:dyDescent="0.2">
      <c r="B88" s="774" t="s">
        <v>185</v>
      </c>
      <c r="C88" s="780" t="s">
        <v>7</v>
      </c>
      <c r="D88" s="687">
        <f>'Loans to Cash Flows Wkst'!$H88</f>
        <v>0</v>
      </c>
      <c r="E88" s="687">
        <f>'Loans to Cash Flows Wkst'!$K88</f>
        <v>0</v>
      </c>
      <c r="G88" s="774" t="s">
        <v>7</v>
      </c>
      <c r="H88" s="687">
        <f>SUMIFS('Loan Entry'!$AE$5:$AE$10,'Loan Entry'!$D$5:$D$10,$C$18,'Loan Entry'!$AB$5:$AB$10,$C88)</f>
        <v>0</v>
      </c>
      <c r="J88" s="774" t="s">
        <v>7</v>
      </c>
      <c r="K88" s="687">
        <f>SUMIFS('Loan Entry'!$AC$5:$AC$10,'Loan Entry'!$D$5:$D$10,$C$18,'Loan Entry'!$AB$5:$AB$10,$C88)</f>
        <v>0</v>
      </c>
    </row>
    <row r="89" spans="2:11" x14ac:dyDescent="0.2">
      <c r="B89" s="777" t="s">
        <v>3</v>
      </c>
      <c r="C89" s="778" t="s">
        <v>3</v>
      </c>
      <c r="D89" s="686">
        <f>'Loans to Cash Flows Wkst'!$H89</f>
        <v>0</v>
      </c>
      <c r="E89" s="686">
        <f>'Loans to Cash Flows Wkst'!$K89</f>
        <v>0</v>
      </c>
      <c r="G89" s="777" t="s">
        <v>3</v>
      </c>
      <c r="H89" s="686">
        <f>SUMIFS('Loan Entry'!$AE$5:$AE$10,'Loan Entry'!$D$5:$D$10,$C$18,'Loan Entry'!$AB$5:$AB$10,$C89)</f>
        <v>0</v>
      </c>
      <c r="J89" s="777" t="s">
        <v>3</v>
      </c>
      <c r="K89" s="686">
        <f>SUMIFS('Loan Entry'!$AC$5:$AC$10,'Loan Entry'!$D$5:$D$10,$C$18,'Loan Entry'!$AB$5:$AB$10,$C89)</f>
        <v>0</v>
      </c>
    </row>
    <row r="90" spans="2:11" x14ac:dyDescent="0.2">
      <c r="B90" s="774" t="s">
        <v>186</v>
      </c>
      <c r="C90" s="780" t="s">
        <v>8</v>
      </c>
      <c r="D90" s="687">
        <f>'Loans to Cash Flows Wkst'!$H90</f>
        <v>0</v>
      </c>
      <c r="E90" s="687">
        <f>'Loans to Cash Flows Wkst'!$K90</f>
        <v>0</v>
      </c>
      <c r="G90" s="774" t="s">
        <v>8</v>
      </c>
      <c r="H90" s="687">
        <f>SUMIFS('Loan Entry'!$AE$5:$AE$10,'Loan Entry'!$D$5:$D$10,$C$18,'Loan Entry'!$AB$5:$AB$10,$C90)</f>
        <v>0</v>
      </c>
      <c r="J90" s="774" t="s">
        <v>8</v>
      </c>
      <c r="K90" s="687">
        <f>SUMIFS('Loan Entry'!$AC$5:$AC$10,'Loan Entry'!$D$5:$D$10,$C$18,'Loan Entry'!$AB$5:$AB$10,$C90)</f>
        <v>0</v>
      </c>
    </row>
    <row r="91" spans="2:11" x14ac:dyDescent="0.2">
      <c r="B91" s="777" t="s">
        <v>187</v>
      </c>
      <c r="C91" s="778" t="s">
        <v>9</v>
      </c>
      <c r="D91" s="686">
        <f>'Loans to Cash Flows Wkst'!$H91</f>
        <v>0</v>
      </c>
      <c r="E91" s="686">
        <f>'Loans to Cash Flows Wkst'!$K91</f>
        <v>0</v>
      </c>
      <c r="G91" s="777" t="s">
        <v>9</v>
      </c>
      <c r="H91" s="686">
        <f>SUMIFS('Loan Entry'!$AE$5:$AE$10,'Loan Entry'!$D$5:$D$10,$C$18,'Loan Entry'!$AB$5:$AB$10,$C91)</f>
        <v>0</v>
      </c>
      <c r="J91" s="777" t="s">
        <v>9</v>
      </c>
      <c r="K91" s="686">
        <f>SUMIFS('Loan Entry'!$AC$5:$AC$10,'Loan Entry'!$D$5:$D$10,$C$18,'Loan Entry'!$AB$5:$AB$10,$C91)</f>
        <v>0</v>
      </c>
    </row>
    <row r="92" spans="2:11" x14ac:dyDescent="0.2">
      <c r="B92" s="774" t="s">
        <v>188</v>
      </c>
      <c r="C92" s="780" t="s">
        <v>10</v>
      </c>
      <c r="D92" s="687">
        <f>'Loans to Cash Flows Wkst'!$H92</f>
        <v>0</v>
      </c>
      <c r="E92" s="687">
        <f>'Loans to Cash Flows Wkst'!$K92</f>
        <v>0</v>
      </c>
      <c r="G92" s="774" t="s">
        <v>10</v>
      </c>
      <c r="H92" s="687">
        <f>SUMIFS('Loan Entry'!$AE$5:$AE$10,'Loan Entry'!$D$5:$D$10,$C$18,'Loan Entry'!$AB$5:$AB$10,$C92)</f>
        <v>0</v>
      </c>
      <c r="J92" s="774" t="s">
        <v>10</v>
      </c>
      <c r="K92" s="687">
        <f>SUMIFS('Loan Entry'!$AC$5:$AC$10,'Loan Entry'!$D$5:$D$10,$C$18,'Loan Entry'!$AB$5:$AB$10,$C92)</f>
        <v>0</v>
      </c>
    </row>
    <row r="93" spans="2:11" x14ac:dyDescent="0.2">
      <c r="B93" s="777" t="s">
        <v>189</v>
      </c>
      <c r="C93" s="778" t="s">
        <v>11</v>
      </c>
      <c r="D93" s="686">
        <f>'Loans to Cash Flows Wkst'!$H93</f>
        <v>0</v>
      </c>
      <c r="E93" s="686">
        <f>'Loans to Cash Flows Wkst'!$K93</f>
        <v>0</v>
      </c>
      <c r="G93" s="777" t="s">
        <v>11</v>
      </c>
      <c r="H93" s="686">
        <f>SUMIFS('Loan Entry'!$AE$5:$AE$10,'Loan Entry'!$D$5:$D$10,$C$18,'Loan Entry'!$AB$5:$AB$10,$C93)</f>
        <v>0</v>
      </c>
      <c r="J93" s="777" t="s">
        <v>11</v>
      </c>
      <c r="K93" s="686">
        <f>SUMIFS('Loan Entry'!$AC$5:$AC$10,'Loan Entry'!$D$5:$D$10,$C$18,'Loan Entry'!$AB$5:$AB$10,$C93)</f>
        <v>0</v>
      </c>
    </row>
    <row r="94" spans="2:11" x14ac:dyDescent="0.2">
      <c r="B94" s="774" t="s">
        <v>190</v>
      </c>
      <c r="C94" s="780" t="s">
        <v>12</v>
      </c>
      <c r="D94" s="687">
        <f>'Loans to Cash Flows Wkst'!$H94</f>
        <v>0</v>
      </c>
      <c r="E94" s="687">
        <f>'Loans to Cash Flows Wkst'!$K94</f>
        <v>0</v>
      </c>
      <c r="G94" s="774" t="s">
        <v>12</v>
      </c>
      <c r="H94" s="687">
        <f>SUMIFS('Loan Entry'!$AE$5:$AE$10,'Loan Entry'!$D$5:$D$10,$C$18,'Loan Entry'!$AB$5:$AB$10,$C94)</f>
        <v>0</v>
      </c>
      <c r="J94" s="774" t="s">
        <v>12</v>
      </c>
      <c r="K94" s="687">
        <f>SUMIFS('Loan Entry'!$AC$5:$AC$10,'Loan Entry'!$D$5:$D$10,$C$18,'Loan Entry'!$AB$5:$AB$10,$C94)</f>
        <v>0</v>
      </c>
    </row>
    <row r="95" spans="2:11" x14ac:dyDescent="0.2">
      <c r="B95" s="777" t="s">
        <v>191</v>
      </c>
      <c r="C95" s="778" t="s">
        <v>13</v>
      </c>
      <c r="D95" s="686">
        <f>'Loans to Cash Flows Wkst'!$H95</f>
        <v>0</v>
      </c>
      <c r="E95" s="686">
        <f>'Loans to Cash Flows Wkst'!$K95</f>
        <v>0</v>
      </c>
      <c r="G95" s="777" t="s">
        <v>13</v>
      </c>
      <c r="H95" s="686">
        <f>SUMIFS('Loan Entry'!$AE$5:$AE$10,'Loan Entry'!$D$5:$D$10,$C$18,'Loan Entry'!$AB$5:$AB$10,$C95)</f>
        <v>0</v>
      </c>
      <c r="J95" s="777" t="s">
        <v>13</v>
      </c>
      <c r="K95" s="686">
        <f>SUMIFS('Loan Entry'!$AC$5:$AC$10,'Loan Entry'!$D$5:$D$10,$C$18,'Loan Entry'!$AB$5:$AB$10,$C95)</f>
        <v>0</v>
      </c>
    </row>
    <row r="96" spans="2:11" ht="13.5" thickBot="1" x14ac:dyDescent="0.25">
      <c r="B96" s="774" t="s">
        <v>192</v>
      </c>
      <c r="C96" s="780" t="s">
        <v>14</v>
      </c>
      <c r="D96" s="687">
        <f>'Loans to Cash Flows Wkst'!$H96</f>
        <v>0</v>
      </c>
      <c r="E96" s="687">
        <f>'Loans to Cash Flows Wkst'!$K96</f>
        <v>0</v>
      </c>
      <c r="G96" s="774" t="s">
        <v>14</v>
      </c>
      <c r="H96" s="687">
        <f>SUMIFS('Loan Entry'!$AE$5:$AE$10,'Loan Entry'!$D$5:$D$10,$C$18,'Loan Entry'!$AB$5:$AB$10,$C96)</f>
        <v>0</v>
      </c>
      <c r="J96" s="774" t="s">
        <v>14</v>
      </c>
      <c r="K96" s="687">
        <f>SUMIFS('Loan Entry'!$AC$5:$AC$10,'Loan Entry'!$D$5:$D$10,$C$18,'Loan Entry'!$AB$5:$AB$10,$C96)</f>
        <v>0</v>
      </c>
    </row>
    <row r="97" spans="2:11" ht="13.5" thickTop="1" x14ac:dyDescent="0.2">
      <c r="B97" s="781"/>
      <c r="C97" s="782"/>
      <c r="D97" s="783">
        <f>SUM('Loans to Cash Flows Wkst'!$D$85:$D$96)</f>
        <v>0</v>
      </c>
      <c r="E97" s="769">
        <f>SUM('Loans to Cash Flows Wkst'!$E$85:$E$96)</f>
        <v>0</v>
      </c>
      <c r="G97" s="786"/>
      <c r="H97" s="769">
        <f>SUM('Loans to Cash Flows Wkst'!$H$85:$H$96)</f>
        <v>0</v>
      </c>
      <c r="J97" s="786"/>
      <c r="K97" s="769">
        <f>SUM('Loans to Cash Flows Wkst'!$K$85:$K$96)</f>
        <v>0</v>
      </c>
    </row>
  </sheetData>
  <sheetProtection algorithmName="SHA-512" hashValue="aDrFjI8CL4b/N/V23dbh4/WoMA8ruOxvUOcBbCwDxh0O1aeGRFJcp3SVfgVTNc23ncpESpUDCD2OsAvJJ98s1Q==" saltValue="/+qt6eRhRMs+nbjuIcLrPg=="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2:G100"/>
  <sheetViews>
    <sheetView showGridLines="0" zoomScaleNormal="100" workbookViewId="0"/>
  </sheetViews>
  <sheetFormatPr defaultColWidth="9.140625" defaultRowHeight="12.75" x14ac:dyDescent="0.2"/>
  <cols>
    <col min="1" max="1" width="3.28515625" style="991" customWidth="1"/>
    <col min="2" max="2" width="4.85546875" style="991" customWidth="1"/>
    <col min="3" max="3" width="49.85546875" style="991" customWidth="1"/>
    <col min="4" max="4" width="24.140625" style="991" customWidth="1"/>
    <col min="5" max="5" width="15.7109375" style="986" customWidth="1"/>
    <col min="6" max="6" width="2.140625" style="991" customWidth="1"/>
    <col min="7" max="16384" width="9.140625" style="991"/>
  </cols>
  <sheetData>
    <row r="2" spans="1:7" ht="18.75" x14ac:dyDescent="0.3">
      <c r="A2" s="1352" t="s">
        <v>677</v>
      </c>
      <c r="B2" s="1352"/>
      <c r="C2" s="1352"/>
      <c r="D2" s="1352"/>
      <c r="E2" s="1352"/>
      <c r="F2" s="1352"/>
      <c r="G2" s="990"/>
    </row>
    <row r="3" spans="1:7" ht="12.75" customHeight="1" x14ac:dyDescent="0.2">
      <c r="A3" s="1353" t="s">
        <v>674</v>
      </c>
      <c r="B3" s="1353"/>
      <c r="C3" s="1353"/>
      <c r="D3" s="1353"/>
      <c r="E3" s="1353"/>
      <c r="F3" s="1353"/>
      <c r="G3" s="992"/>
    </row>
    <row r="4" spans="1:7" ht="12.75" customHeight="1" x14ac:dyDescent="0.2">
      <c r="A4" s="1354" t="s">
        <v>676</v>
      </c>
      <c r="B4" s="1355"/>
      <c r="C4" s="1355"/>
      <c r="D4" s="1355"/>
      <c r="E4" s="1355"/>
      <c r="F4" s="1355"/>
      <c r="G4" s="992"/>
    </row>
    <row r="6" spans="1:7" ht="15.75" x14ac:dyDescent="0.25">
      <c r="A6" s="993" t="s">
        <v>600</v>
      </c>
      <c r="B6" s="994"/>
      <c r="C6" s="995"/>
      <c r="D6" s="995"/>
      <c r="E6" s="996"/>
    </row>
    <row r="7" spans="1:7" ht="15.75" x14ac:dyDescent="0.25">
      <c r="A7" s="997"/>
      <c r="B7" s="998" t="s">
        <v>573</v>
      </c>
      <c r="C7" s="998" t="s">
        <v>738</v>
      </c>
      <c r="D7" s="998"/>
      <c r="E7" s="987">
        <f>SUM(E8:E11)</f>
        <v>0</v>
      </c>
    </row>
    <row r="8" spans="1:7" ht="15" x14ac:dyDescent="0.2">
      <c r="A8" s="997"/>
      <c r="B8" s="998"/>
      <c r="C8" s="999" t="s">
        <v>718</v>
      </c>
      <c r="D8" s="998"/>
      <c r="E8" s="1033">
        <v>0</v>
      </c>
    </row>
    <row r="9" spans="1:7" ht="15" x14ac:dyDescent="0.2">
      <c r="A9" s="997"/>
      <c r="B9" s="998"/>
      <c r="C9" s="1000" t="s">
        <v>282</v>
      </c>
      <c r="D9" s="998"/>
      <c r="E9" s="1033">
        <v>0</v>
      </c>
    </row>
    <row r="10" spans="1:7" ht="15" x14ac:dyDescent="0.2">
      <c r="A10" s="997"/>
      <c r="B10" s="998"/>
      <c r="C10" s="1000" t="s">
        <v>283</v>
      </c>
      <c r="D10" s="998"/>
      <c r="E10" s="1033"/>
    </row>
    <row r="11" spans="1:7" ht="15" x14ac:dyDescent="0.2">
      <c r="A11" s="997"/>
      <c r="B11" s="998"/>
      <c r="C11" s="1000" t="s">
        <v>323</v>
      </c>
      <c r="D11" s="998"/>
      <c r="E11" s="1033"/>
    </row>
    <row r="12" spans="1:7" ht="15" x14ac:dyDescent="0.2">
      <c r="A12" s="997"/>
      <c r="B12" s="998" t="s">
        <v>572</v>
      </c>
      <c r="C12" s="998" t="s">
        <v>589</v>
      </c>
      <c r="D12" s="998"/>
      <c r="E12" s="1033"/>
    </row>
    <row r="13" spans="1:7" ht="15" x14ac:dyDescent="0.2">
      <c r="A13" s="997"/>
      <c r="B13" s="998" t="s">
        <v>574</v>
      </c>
      <c r="C13" s="998" t="s">
        <v>590</v>
      </c>
      <c r="D13" s="998"/>
      <c r="E13" s="987">
        <f>E7-E12</f>
        <v>0</v>
      </c>
    </row>
    <row r="14" spans="1:7" ht="15.75" x14ac:dyDescent="0.25">
      <c r="A14" s="997"/>
      <c r="B14" s="1001" t="s">
        <v>588</v>
      </c>
      <c r="C14" s="998" t="s">
        <v>739</v>
      </c>
      <c r="D14" s="998"/>
      <c r="E14" s="987">
        <f>SUM(E15:E18)</f>
        <v>0</v>
      </c>
    </row>
    <row r="15" spans="1:7" ht="15" x14ac:dyDescent="0.2">
      <c r="A15" s="997"/>
      <c r="B15" s="1001"/>
      <c r="C15" s="999" t="s">
        <v>718</v>
      </c>
      <c r="D15" s="998"/>
      <c r="E15" s="1033"/>
    </row>
    <row r="16" spans="1:7" ht="15" x14ac:dyDescent="0.2">
      <c r="A16" s="997"/>
      <c r="B16" s="1001"/>
      <c r="C16" s="1000" t="s">
        <v>282</v>
      </c>
      <c r="D16" s="998"/>
      <c r="E16" s="1033"/>
    </row>
    <row r="17" spans="1:5" ht="15" x14ac:dyDescent="0.2">
      <c r="A17" s="997"/>
      <c r="B17" s="1001"/>
      <c r="C17" s="1000" t="s">
        <v>283</v>
      </c>
      <c r="D17" s="998"/>
      <c r="E17" s="1033"/>
    </row>
    <row r="18" spans="1:5" ht="15" x14ac:dyDescent="0.2">
      <c r="A18" s="997"/>
      <c r="B18" s="1001"/>
      <c r="C18" s="1000" t="s">
        <v>323</v>
      </c>
      <c r="D18" s="998"/>
      <c r="E18" s="1033"/>
    </row>
    <row r="19" spans="1:5" ht="15" x14ac:dyDescent="0.2">
      <c r="A19" s="997"/>
      <c r="B19" s="998" t="s">
        <v>575</v>
      </c>
      <c r="C19" s="998" t="s">
        <v>591</v>
      </c>
      <c r="D19" s="998"/>
      <c r="E19" s="1033"/>
    </row>
    <row r="20" spans="1:5" ht="15" x14ac:dyDescent="0.2">
      <c r="A20" s="997"/>
      <c r="B20" s="998" t="s">
        <v>576</v>
      </c>
      <c r="C20" s="998" t="s">
        <v>592</v>
      </c>
      <c r="D20" s="998"/>
      <c r="E20" s="1033"/>
    </row>
    <row r="21" spans="1:5" ht="15" x14ac:dyDescent="0.2">
      <c r="A21" s="997"/>
      <c r="B21" s="998" t="s">
        <v>577</v>
      </c>
      <c r="C21" s="998" t="s">
        <v>593</v>
      </c>
      <c r="D21" s="998"/>
      <c r="E21" s="1033"/>
    </row>
    <row r="22" spans="1:5" ht="15" x14ac:dyDescent="0.2">
      <c r="A22" s="997"/>
      <c r="B22" s="998" t="s">
        <v>578</v>
      </c>
      <c r="C22" s="998" t="s">
        <v>592</v>
      </c>
      <c r="D22" s="998"/>
      <c r="E22" s="1033"/>
    </row>
    <row r="23" spans="1:5" ht="15" x14ac:dyDescent="0.2">
      <c r="A23" s="997"/>
      <c r="B23" s="998" t="s">
        <v>579</v>
      </c>
      <c r="C23" s="998" t="s">
        <v>594</v>
      </c>
      <c r="D23" s="998"/>
      <c r="E23" s="1033"/>
    </row>
    <row r="24" spans="1:5" ht="15" x14ac:dyDescent="0.2">
      <c r="A24" s="997"/>
      <c r="B24" s="998" t="s">
        <v>580</v>
      </c>
      <c r="C24" s="998" t="s">
        <v>595</v>
      </c>
      <c r="D24" s="998"/>
      <c r="E24" s="1033"/>
    </row>
    <row r="25" spans="1:5" ht="15" x14ac:dyDescent="0.2">
      <c r="A25" s="997"/>
      <c r="B25" s="998" t="s">
        <v>581</v>
      </c>
      <c r="C25" s="998" t="s">
        <v>592</v>
      </c>
      <c r="D25" s="998"/>
      <c r="E25" s="1033"/>
    </row>
    <row r="26" spans="1:5" ht="15" x14ac:dyDescent="0.2">
      <c r="A26" s="997"/>
      <c r="B26" s="998" t="s">
        <v>582</v>
      </c>
      <c r="C26" s="998" t="s">
        <v>740</v>
      </c>
      <c r="D26" s="998"/>
      <c r="E26" s="1033"/>
    </row>
    <row r="27" spans="1:5" ht="15" x14ac:dyDescent="0.2">
      <c r="A27" s="997"/>
      <c r="B27" s="998" t="s">
        <v>583</v>
      </c>
      <c r="C27" s="998" t="s">
        <v>592</v>
      </c>
      <c r="D27" s="998"/>
      <c r="E27" s="1033"/>
    </row>
    <row r="28" spans="1:5" ht="15" x14ac:dyDescent="0.2">
      <c r="A28" s="997"/>
      <c r="B28" s="998" t="s">
        <v>584</v>
      </c>
      <c r="C28" s="998" t="s">
        <v>596</v>
      </c>
      <c r="D28" s="998"/>
      <c r="E28" s="1033"/>
    </row>
    <row r="29" spans="1:5" ht="15" x14ac:dyDescent="0.2">
      <c r="A29" s="997"/>
      <c r="B29" s="1001" t="s">
        <v>585</v>
      </c>
      <c r="C29" s="998" t="s">
        <v>597</v>
      </c>
      <c r="D29" s="998"/>
      <c r="E29" s="1033"/>
    </row>
    <row r="30" spans="1:5" ht="15" x14ac:dyDescent="0.2">
      <c r="A30" s="997"/>
      <c r="B30" s="1002" t="s">
        <v>586</v>
      </c>
      <c r="C30" s="1003" t="s">
        <v>598</v>
      </c>
      <c r="D30" s="1003"/>
      <c r="E30" s="1033"/>
    </row>
    <row r="31" spans="1:5" ht="15.75" x14ac:dyDescent="0.25">
      <c r="A31" s="1004"/>
      <c r="B31" s="1005" t="s">
        <v>587</v>
      </c>
      <c r="C31" s="1006" t="s">
        <v>599</v>
      </c>
      <c r="D31" s="1006"/>
      <c r="E31" s="1007">
        <f>E13+E14+E20+E22+E23+E25+E27+E28+E29+E30</f>
        <v>0</v>
      </c>
    </row>
    <row r="32" spans="1:5" ht="15" x14ac:dyDescent="0.2">
      <c r="B32" s="998"/>
      <c r="C32" s="998"/>
      <c r="D32" s="998"/>
      <c r="E32" s="998"/>
    </row>
    <row r="33" spans="1:5" ht="15.75" x14ac:dyDescent="0.25">
      <c r="A33" s="993" t="s">
        <v>601</v>
      </c>
      <c r="B33" s="994"/>
      <c r="C33" s="995"/>
      <c r="D33" s="995"/>
      <c r="E33" s="1008"/>
    </row>
    <row r="34" spans="1:5" ht="15" x14ac:dyDescent="0.2">
      <c r="A34" s="997"/>
      <c r="B34" s="1001" t="s">
        <v>602</v>
      </c>
      <c r="C34" s="998" t="s">
        <v>637</v>
      </c>
      <c r="D34" s="998"/>
      <c r="E34" s="1033">
        <v>0</v>
      </c>
    </row>
    <row r="35" spans="1:5" ht="15" x14ac:dyDescent="0.2">
      <c r="A35" s="997"/>
      <c r="B35" s="1001" t="s">
        <v>603</v>
      </c>
      <c r="C35" s="998" t="s">
        <v>638</v>
      </c>
      <c r="D35" s="998"/>
      <c r="E35" s="1033"/>
    </row>
    <row r="36" spans="1:5" ht="15" x14ac:dyDescent="0.2">
      <c r="A36" s="997"/>
      <c r="B36" s="1001" t="s">
        <v>604</v>
      </c>
      <c r="C36" s="998" t="s">
        <v>639</v>
      </c>
      <c r="D36" s="998"/>
      <c r="E36" s="1033"/>
    </row>
    <row r="37" spans="1:5" ht="15" x14ac:dyDescent="0.2">
      <c r="A37" s="997"/>
      <c r="B37" s="1001" t="s">
        <v>605</v>
      </c>
      <c r="C37" s="998" t="s">
        <v>640</v>
      </c>
      <c r="D37" s="998"/>
      <c r="E37" s="1033"/>
    </row>
    <row r="38" spans="1:5" ht="15" x14ac:dyDescent="0.2">
      <c r="A38" s="997"/>
      <c r="B38" s="1001" t="s">
        <v>606</v>
      </c>
      <c r="C38" s="998" t="s">
        <v>641</v>
      </c>
      <c r="D38" s="998"/>
      <c r="E38" s="1033"/>
    </row>
    <row r="39" spans="1:5" ht="15" x14ac:dyDescent="0.2">
      <c r="A39" s="997"/>
      <c r="B39" s="1001" t="s">
        <v>607</v>
      </c>
      <c r="C39" s="998" t="s">
        <v>642</v>
      </c>
      <c r="D39" s="998"/>
      <c r="E39" s="1033"/>
    </row>
    <row r="40" spans="1:5" ht="15" x14ac:dyDescent="0.2">
      <c r="A40" s="997"/>
      <c r="B40" s="1001" t="s">
        <v>608</v>
      </c>
      <c r="C40" s="998" t="s">
        <v>643</v>
      </c>
      <c r="D40" s="998"/>
      <c r="E40" s="1033"/>
    </row>
    <row r="41" spans="1:5" ht="15" x14ac:dyDescent="0.2">
      <c r="A41" s="997"/>
      <c r="B41" s="1001" t="s">
        <v>609</v>
      </c>
      <c r="C41" s="998" t="s">
        <v>644</v>
      </c>
      <c r="D41" s="998"/>
      <c r="E41" s="1033"/>
    </row>
    <row r="42" spans="1:5" ht="15" x14ac:dyDescent="0.2">
      <c r="A42" s="997"/>
      <c r="B42" s="1001" t="s">
        <v>610</v>
      </c>
      <c r="C42" s="998" t="s">
        <v>645</v>
      </c>
      <c r="D42" s="998"/>
      <c r="E42" s="1033"/>
    </row>
    <row r="43" spans="1:5" ht="15" x14ac:dyDescent="0.2">
      <c r="A43" s="997"/>
      <c r="B43" s="1001" t="s">
        <v>611</v>
      </c>
      <c r="C43" s="998" t="s">
        <v>646</v>
      </c>
      <c r="D43" s="998"/>
      <c r="E43" s="1033"/>
    </row>
    <row r="44" spans="1:5" ht="15" x14ac:dyDescent="0.2">
      <c r="A44" s="997"/>
      <c r="B44" s="1001" t="s">
        <v>612</v>
      </c>
      <c r="C44" s="998" t="s">
        <v>647</v>
      </c>
      <c r="D44" s="998"/>
      <c r="E44" s="1033"/>
    </row>
    <row r="45" spans="1:5" ht="15" x14ac:dyDescent="0.2">
      <c r="A45" s="997"/>
      <c r="B45" s="998" t="s">
        <v>613</v>
      </c>
      <c r="C45" s="998" t="s">
        <v>648</v>
      </c>
      <c r="D45" s="998"/>
      <c r="E45" s="1033"/>
    </row>
    <row r="46" spans="1:5" ht="15" x14ac:dyDescent="0.2">
      <c r="A46" s="997"/>
      <c r="B46" s="998" t="s">
        <v>614</v>
      </c>
      <c r="C46" s="998" t="s">
        <v>649</v>
      </c>
      <c r="D46" s="998"/>
      <c r="E46" s="1033"/>
    </row>
    <row r="47" spans="1:5" ht="15" x14ac:dyDescent="0.2">
      <c r="A47" s="997"/>
      <c r="B47" s="1001" t="s">
        <v>615</v>
      </c>
      <c r="C47" s="998" t="s">
        <v>650</v>
      </c>
      <c r="D47" s="998"/>
      <c r="E47" s="1033"/>
    </row>
    <row r="48" spans="1:5" ht="15" x14ac:dyDescent="0.2">
      <c r="A48" s="997"/>
      <c r="B48" s="1001" t="s">
        <v>616</v>
      </c>
      <c r="C48" s="998" t="s">
        <v>651</v>
      </c>
      <c r="D48" s="998"/>
      <c r="E48" s="1033"/>
    </row>
    <row r="49" spans="1:5" ht="15" x14ac:dyDescent="0.2">
      <c r="A49" s="997"/>
      <c r="B49" s="1001" t="s">
        <v>617</v>
      </c>
      <c r="C49" s="998" t="s">
        <v>652</v>
      </c>
      <c r="D49" s="998"/>
      <c r="E49" s="1033"/>
    </row>
    <row r="50" spans="1:5" ht="15" x14ac:dyDescent="0.2">
      <c r="A50" s="997"/>
      <c r="B50" s="998" t="s">
        <v>618</v>
      </c>
      <c r="C50" s="998" t="s">
        <v>653</v>
      </c>
      <c r="D50" s="998"/>
      <c r="E50" s="1033"/>
    </row>
    <row r="51" spans="1:5" ht="15" x14ac:dyDescent="0.2">
      <c r="A51" s="997"/>
      <c r="B51" s="1001" t="s">
        <v>619</v>
      </c>
      <c r="C51" s="998" t="s">
        <v>654</v>
      </c>
      <c r="D51" s="998"/>
      <c r="E51" s="1033"/>
    </row>
    <row r="52" spans="1:5" ht="15" x14ac:dyDescent="0.2">
      <c r="A52" s="997"/>
      <c r="B52" s="1001" t="s">
        <v>620</v>
      </c>
      <c r="C52" s="998" t="s">
        <v>655</v>
      </c>
      <c r="D52" s="998"/>
      <c r="E52" s="1033"/>
    </row>
    <row r="53" spans="1:5" ht="15" x14ac:dyDescent="0.2">
      <c r="A53" s="997"/>
      <c r="B53" s="1001" t="s">
        <v>621</v>
      </c>
      <c r="C53" s="998" t="s">
        <v>656</v>
      </c>
      <c r="D53" s="998"/>
      <c r="E53" s="1033"/>
    </row>
    <row r="54" spans="1:5" ht="15" x14ac:dyDescent="0.2">
      <c r="A54" s="997"/>
      <c r="B54" s="1001" t="s">
        <v>622</v>
      </c>
      <c r="C54" s="998" t="s">
        <v>657</v>
      </c>
      <c r="D54" s="998"/>
      <c r="E54" s="1033"/>
    </row>
    <row r="55" spans="1:5" ht="15" x14ac:dyDescent="0.2">
      <c r="A55" s="997"/>
      <c r="B55" s="1001" t="s">
        <v>623</v>
      </c>
      <c r="C55" s="998" t="s">
        <v>658</v>
      </c>
      <c r="D55" s="998"/>
      <c r="E55" s="1033"/>
    </row>
    <row r="56" spans="1:5" ht="15" x14ac:dyDescent="0.2">
      <c r="A56" s="997"/>
      <c r="B56" s="1001" t="s">
        <v>624</v>
      </c>
      <c r="C56" s="998" t="s">
        <v>46</v>
      </c>
      <c r="D56" s="998"/>
      <c r="E56" s="1033"/>
    </row>
    <row r="57" spans="1:5" ht="15" x14ac:dyDescent="0.2">
      <c r="A57" s="997"/>
      <c r="B57" s="1001" t="s">
        <v>625</v>
      </c>
      <c r="C57" s="998" t="s">
        <v>659</v>
      </c>
      <c r="D57" s="998"/>
      <c r="E57" s="1033"/>
    </row>
    <row r="58" spans="1:5" ht="15" x14ac:dyDescent="0.2">
      <c r="A58" s="997"/>
      <c r="B58" s="1001" t="s">
        <v>626</v>
      </c>
      <c r="C58" s="988" t="s">
        <v>711</v>
      </c>
      <c r="D58" s="1009" t="s">
        <v>741</v>
      </c>
      <c r="E58" s="1033"/>
    </row>
    <row r="59" spans="1:5" ht="15" x14ac:dyDescent="0.2">
      <c r="A59" s="997"/>
      <c r="B59" s="998" t="s">
        <v>627</v>
      </c>
      <c r="C59" s="988" t="s">
        <v>711</v>
      </c>
      <c r="D59" s="1009" t="s">
        <v>741</v>
      </c>
      <c r="E59" s="1033"/>
    </row>
    <row r="60" spans="1:5" ht="15" x14ac:dyDescent="0.2">
      <c r="A60" s="997"/>
      <c r="B60" s="998" t="s">
        <v>628</v>
      </c>
      <c r="C60" s="988" t="s">
        <v>711</v>
      </c>
      <c r="D60" s="1009" t="s">
        <v>741</v>
      </c>
      <c r="E60" s="1033"/>
    </row>
    <row r="61" spans="1:5" ht="15" x14ac:dyDescent="0.2">
      <c r="A61" s="1010"/>
      <c r="B61" s="998" t="s">
        <v>629</v>
      </c>
      <c r="C61" s="988" t="s">
        <v>711</v>
      </c>
      <c r="D61" s="1009" t="s">
        <v>741</v>
      </c>
      <c r="E61" s="1033"/>
    </row>
    <row r="62" spans="1:5" ht="15" x14ac:dyDescent="0.2">
      <c r="A62" s="1010"/>
      <c r="B62" s="998" t="s">
        <v>630</v>
      </c>
      <c r="C62" s="988" t="s">
        <v>634</v>
      </c>
      <c r="D62" s="1009" t="s">
        <v>741</v>
      </c>
      <c r="E62" s="1033">
        <v>0</v>
      </c>
    </row>
    <row r="63" spans="1:5" ht="15" x14ac:dyDescent="0.2">
      <c r="A63" s="1010"/>
      <c r="B63" s="1003" t="s">
        <v>631</v>
      </c>
      <c r="C63" s="989" t="s">
        <v>634</v>
      </c>
      <c r="D63" s="1011" t="s">
        <v>741</v>
      </c>
      <c r="E63" s="1033">
        <v>0</v>
      </c>
    </row>
    <row r="64" spans="1:5" ht="15.75" x14ac:dyDescent="0.25">
      <c r="A64" s="1012"/>
      <c r="B64" s="1005" t="s">
        <v>632</v>
      </c>
      <c r="C64" s="1030" t="s">
        <v>633</v>
      </c>
      <c r="D64" s="1006"/>
      <c r="E64" s="1007">
        <f>SUM(E34:E63)</f>
        <v>0</v>
      </c>
    </row>
    <row r="65" spans="1:5" ht="15" x14ac:dyDescent="0.2">
      <c r="A65" s="986"/>
      <c r="B65" s="998"/>
      <c r="C65" s="998"/>
      <c r="D65" s="998"/>
      <c r="E65" s="1013"/>
    </row>
    <row r="66" spans="1:5" ht="15.75" x14ac:dyDescent="0.25">
      <c r="B66" s="1014" t="s">
        <v>635</v>
      </c>
      <c r="C66" s="1015" t="s">
        <v>636</v>
      </c>
      <c r="D66" s="1015"/>
      <c r="E66" s="1016">
        <f>E31-E64</f>
        <v>0</v>
      </c>
    </row>
    <row r="67" spans="1:5" ht="15" x14ac:dyDescent="0.2">
      <c r="A67" s="986"/>
      <c r="B67" s="998"/>
      <c r="C67" s="998"/>
      <c r="D67" s="998"/>
      <c r="E67" s="998"/>
    </row>
    <row r="68" spans="1:5" ht="15.75" x14ac:dyDescent="0.25">
      <c r="A68" s="1356" t="s">
        <v>742</v>
      </c>
      <c r="B68" s="1357"/>
      <c r="C68" s="1357"/>
      <c r="D68" s="995"/>
      <c r="E68" s="1008"/>
    </row>
    <row r="69" spans="1:5" ht="15.75" x14ac:dyDescent="0.25">
      <c r="A69" s="1010"/>
      <c r="B69" s="1015" t="s">
        <v>733</v>
      </c>
      <c r="C69" s="998"/>
      <c r="D69" s="998"/>
      <c r="E69" s="1017"/>
    </row>
    <row r="70" spans="1:5" ht="15" x14ac:dyDescent="0.2">
      <c r="A70" s="1010"/>
      <c r="B70" s="998"/>
      <c r="C70" s="1018" t="s">
        <v>410</v>
      </c>
      <c r="D70" s="998"/>
      <c r="E70" s="1033"/>
    </row>
    <row r="71" spans="1:5" ht="15" x14ac:dyDescent="0.2">
      <c r="A71" s="1010"/>
      <c r="B71" s="998"/>
      <c r="C71" s="1018" t="s">
        <v>409</v>
      </c>
      <c r="D71" s="998"/>
      <c r="E71" s="1033"/>
    </row>
    <row r="72" spans="1:5" ht="15" x14ac:dyDescent="0.2">
      <c r="A72" s="1010"/>
      <c r="B72" s="998"/>
      <c r="C72" s="1018" t="s">
        <v>869</v>
      </c>
      <c r="D72" s="998"/>
      <c r="E72" s="1033"/>
    </row>
    <row r="73" spans="1:5" ht="15" x14ac:dyDescent="0.2">
      <c r="A73" s="1010"/>
      <c r="B73" s="998"/>
      <c r="C73" s="1018"/>
      <c r="D73" s="998"/>
      <c r="E73" s="1017"/>
    </row>
    <row r="74" spans="1:5" ht="15.75" x14ac:dyDescent="0.25">
      <c r="A74" s="1019"/>
      <c r="B74" s="1020" t="s">
        <v>734</v>
      </c>
      <c r="C74" s="998"/>
      <c r="D74" s="998"/>
      <c r="E74" s="1017"/>
    </row>
    <row r="75" spans="1:5" ht="15" x14ac:dyDescent="0.2">
      <c r="A75" s="1010"/>
      <c r="B75" s="998"/>
      <c r="C75" s="1021" t="s">
        <v>214</v>
      </c>
      <c r="D75" s="998"/>
      <c r="E75" s="1033"/>
    </row>
    <row r="76" spans="1:5" ht="15" x14ac:dyDescent="0.2">
      <c r="A76" s="1010"/>
      <c r="B76" s="998"/>
      <c r="C76" s="1021" t="s">
        <v>132</v>
      </c>
      <c r="D76" s="998"/>
      <c r="E76" s="1033"/>
    </row>
    <row r="77" spans="1:5" ht="15" x14ac:dyDescent="0.2">
      <c r="A77" s="1010"/>
      <c r="B77" s="998"/>
      <c r="C77" s="1021" t="s">
        <v>870</v>
      </c>
      <c r="D77" s="998"/>
      <c r="E77" s="1033"/>
    </row>
    <row r="78" spans="1:5" ht="15" x14ac:dyDescent="0.2">
      <c r="A78" s="1010"/>
      <c r="B78" s="998"/>
      <c r="C78" s="998"/>
      <c r="D78" s="998"/>
      <c r="E78" s="1017"/>
    </row>
    <row r="79" spans="1:5" ht="15.75" x14ac:dyDescent="0.25">
      <c r="A79" s="1010"/>
      <c r="B79" s="1015" t="s">
        <v>724</v>
      </c>
      <c r="C79" s="998"/>
      <c r="D79" s="1022" t="s">
        <v>722</v>
      </c>
      <c r="E79" s="1023" t="s">
        <v>723</v>
      </c>
    </row>
    <row r="80" spans="1:5" ht="15" x14ac:dyDescent="0.2">
      <c r="A80" s="1010"/>
      <c r="C80" s="1024" t="s">
        <v>533</v>
      </c>
      <c r="D80" s="1033"/>
      <c r="E80" s="987">
        <f>InvCropsEntry</f>
        <v>0</v>
      </c>
    </row>
    <row r="81" spans="1:5" ht="15" x14ac:dyDescent="0.2">
      <c r="A81" s="1010"/>
      <c r="C81" s="1024" t="s">
        <v>534</v>
      </c>
      <c r="D81" s="1033"/>
      <c r="E81" s="987">
        <f>InvLivestockEntry</f>
        <v>0</v>
      </c>
    </row>
    <row r="82" spans="1:5" ht="15" x14ac:dyDescent="0.2">
      <c r="A82" s="1010"/>
      <c r="C82" s="1024" t="s">
        <v>535</v>
      </c>
      <c r="D82" s="1034"/>
      <c r="E82" s="987">
        <f>CADueProcTot+CAOthRecTot</f>
        <v>0</v>
      </c>
    </row>
    <row r="83" spans="1:5" ht="15" x14ac:dyDescent="0.2">
      <c r="A83" s="1010"/>
      <c r="C83" s="1024" t="s">
        <v>536</v>
      </c>
      <c r="D83" s="1033"/>
      <c r="E83" s="1033"/>
    </row>
    <row r="84" spans="1:5" ht="15" x14ac:dyDescent="0.2">
      <c r="A84" s="1010"/>
      <c r="C84" s="1024" t="s">
        <v>537</v>
      </c>
      <c r="D84" s="1035"/>
      <c r="E84" s="987">
        <f>InvOtherEntry</f>
        <v>0</v>
      </c>
    </row>
    <row r="85" spans="1:5" ht="15" x14ac:dyDescent="0.2">
      <c r="A85" s="1010"/>
      <c r="C85" s="1024" t="s">
        <v>725</v>
      </c>
      <c r="D85" s="1033"/>
      <c r="E85" s="987">
        <f>CAPrepaidTot</f>
        <v>0</v>
      </c>
    </row>
    <row r="86" spans="1:5" ht="15" x14ac:dyDescent="0.2">
      <c r="A86" s="1010"/>
      <c r="C86" s="1024" t="s">
        <v>726</v>
      </c>
      <c r="D86" s="1033"/>
      <c r="E86" s="987">
        <v>0</v>
      </c>
    </row>
    <row r="87" spans="1:5" ht="15" x14ac:dyDescent="0.2">
      <c r="A87" s="1010"/>
      <c r="C87" s="1024" t="s">
        <v>727</v>
      </c>
      <c r="D87" s="1033"/>
      <c r="E87" s="987">
        <f>CLAPTot</f>
        <v>0</v>
      </c>
    </row>
    <row r="88" spans="1:5" ht="15" x14ac:dyDescent="0.2">
      <c r="A88" s="1010"/>
      <c r="C88" s="1024" t="s">
        <v>206</v>
      </c>
      <c r="D88" s="1033"/>
      <c r="E88" s="987">
        <f>CLBizAcrIntTot</f>
        <v>0</v>
      </c>
    </row>
    <row r="89" spans="1:5" ht="15" x14ac:dyDescent="0.2">
      <c r="A89" s="1010"/>
      <c r="C89" s="1024" t="s">
        <v>328</v>
      </c>
      <c r="D89" s="1033"/>
      <c r="E89" s="987">
        <f>PersLTaxesTot</f>
        <v>0</v>
      </c>
    </row>
    <row r="90" spans="1:5" x14ac:dyDescent="0.2">
      <c r="A90" s="1010"/>
      <c r="E90" s="1025"/>
    </row>
    <row r="91" spans="1:5" ht="15.75" x14ac:dyDescent="0.25">
      <c r="A91" s="1026"/>
      <c r="B91" s="1015" t="s">
        <v>730</v>
      </c>
      <c r="C91" s="998"/>
      <c r="E91" s="1025"/>
    </row>
    <row r="92" spans="1:5" ht="15.75" x14ac:dyDescent="0.25">
      <c r="A92" s="1026"/>
      <c r="B92" s="1015"/>
      <c r="C92" s="998" t="s">
        <v>745</v>
      </c>
      <c r="D92" s="1033"/>
      <c r="E92" s="987">
        <f>CACashTot</f>
        <v>0</v>
      </c>
    </row>
    <row r="93" spans="1:5" ht="15.75" x14ac:dyDescent="0.25">
      <c r="A93" s="1026"/>
      <c r="B93" s="1015"/>
      <c r="C93" s="998" t="s">
        <v>763</v>
      </c>
      <c r="D93" s="1033"/>
      <c r="E93" s="987">
        <f>NCBreedLivestockTot</f>
        <v>0</v>
      </c>
    </row>
    <row r="94" spans="1:5" ht="15.75" x14ac:dyDescent="0.25">
      <c r="A94" s="1026"/>
      <c r="B94" s="1015"/>
      <c r="C94" s="998" t="s">
        <v>764</v>
      </c>
      <c r="D94" s="1033"/>
      <c r="E94" s="987">
        <f>NCPurchBreedLivestockTot</f>
        <v>0</v>
      </c>
    </row>
    <row r="95" spans="1:5" ht="15" x14ac:dyDescent="0.2">
      <c r="A95" s="1010"/>
      <c r="C95" s="1024" t="s">
        <v>682</v>
      </c>
      <c r="D95" s="1034"/>
      <c r="E95" s="987">
        <f>'Final Balance Sheet'!C20</f>
        <v>0</v>
      </c>
    </row>
    <row r="96" spans="1:5" ht="15" x14ac:dyDescent="0.2">
      <c r="A96" s="997"/>
      <c r="C96" s="1024" t="s">
        <v>728</v>
      </c>
      <c r="D96" s="1033"/>
      <c r="E96" s="987">
        <f>'Final Balance Sheet'!C22</f>
        <v>0</v>
      </c>
    </row>
    <row r="97" spans="1:5" ht="15" x14ac:dyDescent="0.2">
      <c r="A97" s="997"/>
      <c r="C97" s="1024" t="s">
        <v>729</v>
      </c>
      <c r="D97" s="1034"/>
      <c r="E97" s="987">
        <f>'Final Balance Sheet'!C27</f>
        <v>0</v>
      </c>
    </row>
    <row r="98" spans="1:5" ht="15" x14ac:dyDescent="0.2">
      <c r="A98" s="997"/>
      <c r="C98" s="1024" t="s">
        <v>839</v>
      </c>
      <c r="D98" s="1033"/>
      <c r="E98" s="987">
        <f>'Final Balance Sheet'!C26+'Final Balance Sheet'!C28+'Final Balance Sheet'!C29</f>
        <v>0</v>
      </c>
    </row>
    <row r="99" spans="1:5" ht="15" x14ac:dyDescent="0.2">
      <c r="A99" s="997"/>
      <c r="C99" s="1024" t="s">
        <v>77</v>
      </c>
      <c r="D99" s="1033"/>
      <c r="E99" s="987">
        <f>'Final Balance Sheet'!C57</f>
        <v>0</v>
      </c>
    </row>
    <row r="100" spans="1:5" ht="15" x14ac:dyDescent="0.2">
      <c r="A100" s="1004"/>
      <c r="B100" s="1027"/>
      <c r="C100" s="1028" t="s">
        <v>842</v>
      </c>
      <c r="D100" s="1033"/>
      <c r="E100" s="1029">
        <f>'Final Balance Sheet'!G54-'Final Balance Sheet'!G51</f>
        <v>0</v>
      </c>
    </row>
  </sheetData>
  <sheetProtection algorithmName="SHA-512" hashValue="31ABY8EZ+jBqwI6d+43q2zFNpyzt66LAtgJ1QNDh/MToJrcRx9PbFHaJEOjk2v5pwLt+Thj9k25hXwxAu8X6Bw==" saltValue="GGerxR+jEwzjMEL0Ovx2qA==" spinCount="100000" sheet="1" objects="1" scenarios="1"/>
  <mergeCells count="4">
    <mergeCell ref="A2:F2"/>
    <mergeCell ref="A3:F3"/>
    <mergeCell ref="A4:F4"/>
    <mergeCell ref="A68:C68"/>
  </mergeCells>
  <dataValidations count="4">
    <dataValidation type="list" showInputMessage="1" showErrorMessage="1" sqref="C59:C63" xr:uid="{00000000-0002-0000-0800-000000000000}">
      <formula1>tabNameCheck</formula1>
    </dataValidation>
    <dataValidation type="list" showInputMessage="1" showErrorMessage="1" sqref="C58" xr:uid="{00000000-0002-0000-0800-000001000000}">
      <formula1>tabSchF_Choice</formula1>
    </dataValidation>
    <dataValidation allowBlank="1" showInputMessage="1" showErrorMessage="1" prompt="Vegetable or fruit sales made to a processor" sqref="C9 C16" xr:uid="{00000000-0002-0000-0800-000002000000}"/>
    <dataValidation allowBlank="1" showInputMessage="1" showErrorMessage="1" prompt="Livestock product (milk, eggs, etc) sales made to processor, cooperative, etc." sqref="C10 C17" xr:uid="{00000000-0002-0000-0800-000003000000}"/>
  </dataValidations>
  <printOptions horizontalCentered="1"/>
  <pageMargins left="0.25" right="0.25" top="0.5" bottom="0.25" header="0.3" footer="0.05"/>
  <pageSetup orientation="portrait" r:id="rId1"/>
  <headerFooter>
    <oddFooter>&amp;LAgPlan Schedule F Input Worksheet&amp;RAgPlan.com</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1033</vt:i4>
      </vt:variant>
    </vt:vector>
  </HeadingPairs>
  <TitlesOfParts>
    <vt:vector size="1052" baseType="lpstr">
      <vt:lpstr>Gen Info</vt:lpstr>
      <vt:lpstr>Inputs</vt:lpstr>
      <vt:lpstr>Asset Entry</vt:lpstr>
      <vt:lpstr>Inventory</vt:lpstr>
      <vt:lpstr>Liability Entry</vt:lpstr>
      <vt:lpstr>Loan Entry</vt:lpstr>
      <vt:lpstr>Final Balance Sheet</vt:lpstr>
      <vt:lpstr>Loans to Cash Flows Wkst</vt:lpstr>
      <vt:lpstr>Schedule F Entry</vt:lpstr>
      <vt:lpstr>Schedule F Cash to Accrual</vt:lpstr>
      <vt:lpstr>Schedule F Cash to Accrual Det</vt:lpstr>
      <vt:lpstr>Cash Flows</vt:lpstr>
      <vt:lpstr>ProposedLoans</vt:lpstr>
      <vt:lpstr>ProposedLoansWkst</vt:lpstr>
      <vt:lpstr>Projected Inventory</vt:lpstr>
      <vt:lpstr>Final Income and Cash Flows</vt:lpstr>
      <vt:lpstr>Financial Scorecard</vt:lpstr>
      <vt:lpstr>Projected BS</vt:lpstr>
      <vt:lpstr>Dashboard</vt:lpstr>
      <vt:lpstr>ACFBegLoanBal</vt:lpstr>
      <vt:lpstr>ACFBuildBSValTot</vt:lpstr>
      <vt:lpstr>ACFCapPurchBuildingsTot</vt:lpstr>
      <vt:lpstr>ACFCapPurchEquipTot</vt:lpstr>
      <vt:lpstr>ACFCapPurchInput</vt:lpstr>
      <vt:lpstr>ACFCapPurchLandTot</vt:lpstr>
      <vt:lpstr>ACFCapPurchLivestockTot</vt:lpstr>
      <vt:lpstr>ACFCapPurchVehTot</vt:lpstr>
      <vt:lpstr>ACFCropInsIncInput</vt:lpstr>
      <vt:lpstr>ACFCropInsIncTot</vt:lpstr>
      <vt:lpstr>ACFCullIncomeInput</vt:lpstr>
      <vt:lpstr>ACFCullIncomeTot</vt:lpstr>
      <vt:lpstr>ACFDMCapPurchInput</vt:lpstr>
      <vt:lpstr>ACFDMCapPurchTot</vt:lpstr>
      <vt:lpstr>ACFDMEquipBSValTot</vt:lpstr>
      <vt:lpstr>ACFDMEquipGainInput</vt:lpstr>
      <vt:lpstr>ACFDMEquipGainTot</vt:lpstr>
      <vt:lpstr>ACFDMEquipSaleInput</vt:lpstr>
      <vt:lpstr>ACFDMEquipSaleTot</vt:lpstr>
      <vt:lpstr>ACFDMEtcInput</vt:lpstr>
      <vt:lpstr>ACFDMEtcTot</vt:lpstr>
      <vt:lpstr>ACFDMFCDeprInput</vt:lpstr>
      <vt:lpstr>ACFDMFCDeprTot</vt:lpstr>
      <vt:lpstr>ACFDMFCIntInput</vt:lpstr>
      <vt:lpstr>ACFDMFCIntTot</vt:lpstr>
      <vt:lpstr>ACFDMFCMiscInput</vt:lpstr>
      <vt:lpstr>ACFDMFCMiscTot</vt:lpstr>
      <vt:lpstr>ACFDMFCOthInput</vt:lpstr>
      <vt:lpstr>ACFDMFCOthTot</vt:lpstr>
      <vt:lpstr>ACFDMFCPermitsInput</vt:lpstr>
      <vt:lpstr>ACFDMFCPermitTot</vt:lpstr>
      <vt:lpstr>ACFDMFCPromoInput</vt:lpstr>
      <vt:lpstr>ACFDMFCPromoTot</vt:lpstr>
      <vt:lpstr>ACFDMFCRentInput</vt:lpstr>
      <vt:lpstr>ACFDMFCRentTot</vt:lpstr>
      <vt:lpstr>ACFDMFCVehInput</vt:lpstr>
      <vt:lpstr>ACFDMFCVehTot</vt:lpstr>
      <vt:lpstr>ACFDMINVChangeInput</vt:lpstr>
      <vt:lpstr>ACFDMINVChangeTot</vt:lpstr>
      <vt:lpstr>ACFDMNewCredInput</vt:lpstr>
      <vt:lpstr>ACFDMNewCredTot</vt:lpstr>
      <vt:lpstr>ACFDMNewDMOpInput</vt:lpstr>
      <vt:lpstr>ACFDMNewDMOpTot</vt:lpstr>
      <vt:lpstr>ACFDMOthInput</vt:lpstr>
      <vt:lpstr>ACFDMOthTot</vt:lpstr>
      <vt:lpstr>ACFDMPrinInput</vt:lpstr>
      <vt:lpstr>ACFDMPrinTot</vt:lpstr>
      <vt:lpstr>ACFDMSalesCSAInput</vt:lpstr>
      <vt:lpstr>ACFDMSalesCSATot</vt:lpstr>
      <vt:lpstr>ACFDMSalesFarmMktInput</vt:lpstr>
      <vt:lpstr>ACFDMSalesFarmMktTot</vt:lpstr>
      <vt:lpstr>ACFDMSalesFarmstandInput</vt:lpstr>
      <vt:lpstr>ACFDMSalesFarmstandTot</vt:lpstr>
      <vt:lpstr>ACFDMSalesOtherInput</vt:lpstr>
      <vt:lpstr>ACFDMSalesOtherTot</vt:lpstr>
      <vt:lpstr>ACFDMValueLaborTot</vt:lpstr>
      <vt:lpstr>ACFDMVCColdInput</vt:lpstr>
      <vt:lpstr>ACFDMVCColdTot</vt:lpstr>
      <vt:lpstr>ACFDMVCInsInput</vt:lpstr>
      <vt:lpstr>ACFDMVCInsTot</vt:lpstr>
      <vt:lpstr>ACFDMVCLaborInput</vt:lpstr>
      <vt:lpstr>ACFDMVCLaborTot</vt:lpstr>
      <vt:lpstr>ACFDMVCMktSuppInput</vt:lpstr>
      <vt:lpstr>ACFDMVCMktSuppTot</vt:lpstr>
      <vt:lpstr>ACFDMVCOthInput</vt:lpstr>
      <vt:lpstr>ACFDMVCOthTot</vt:lpstr>
      <vt:lpstr>ACFDMVCPackInput</vt:lpstr>
      <vt:lpstr>ACFDMVCPackTot</vt:lpstr>
      <vt:lpstr>ACFDMVCResaleInput</vt:lpstr>
      <vt:lpstr>ACFDMVCResaleTot</vt:lpstr>
      <vt:lpstr>ACFDMVCShipInput</vt:lpstr>
      <vt:lpstr>ACFDMVCShippingTot</vt:lpstr>
      <vt:lpstr>ACFDMVCSuppliesInput</vt:lpstr>
      <vt:lpstr>ACFDMVCSuppliesTot</vt:lpstr>
      <vt:lpstr>ACFDMVCUtilInput</vt:lpstr>
      <vt:lpstr>ACFDMVCUtilTot</vt:lpstr>
      <vt:lpstr>ACFEndLoanBal</vt:lpstr>
      <vt:lpstr>ACFEquipBSValTot</vt:lpstr>
      <vt:lpstr>ACFEquipBSVehTot</vt:lpstr>
      <vt:lpstr>ACFFCCarTruckInput</vt:lpstr>
      <vt:lpstr>ACFFCCarTruckTot</vt:lpstr>
      <vt:lpstr>ACFFCConservationInput</vt:lpstr>
      <vt:lpstr>ACFFCConservationTot</vt:lpstr>
      <vt:lpstr>ACFFCDeprBuildInput</vt:lpstr>
      <vt:lpstr>ACFFCDeprBuildTot</vt:lpstr>
      <vt:lpstr>ACFFCDeprEquipInput</vt:lpstr>
      <vt:lpstr>ACFFCDeprEquipTot</vt:lpstr>
      <vt:lpstr>ACFFCDeprLivestockInput</vt:lpstr>
      <vt:lpstr>ACFFCDeprLivestockTot</vt:lpstr>
      <vt:lpstr>ACFFCDeprVehTot</vt:lpstr>
      <vt:lpstr>ACFFCFarmInsInput</vt:lpstr>
      <vt:lpstr>ACFFCFarmInsTot</vt:lpstr>
      <vt:lpstr>ACFFCInterestInput</vt:lpstr>
      <vt:lpstr>ACFFCInterestTot</vt:lpstr>
      <vt:lpstr>ACFFCLandRentInput</vt:lpstr>
      <vt:lpstr>ACFFCLandRentTot</vt:lpstr>
      <vt:lpstr>ACFFCMachLeaseInput</vt:lpstr>
      <vt:lpstr>ACFFCMachLeaseTot</vt:lpstr>
      <vt:lpstr>ACFFCOpLoanInterestTot</vt:lpstr>
      <vt:lpstr>ACFFCOthInput</vt:lpstr>
      <vt:lpstr>ACFFCOthTot</vt:lpstr>
      <vt:lpstr>ACFFCPermitTot</vt:lpstr>
      <vt:lpstr>ACFFCProfInput</vt:lpstr>
      <vt:lpstr>ACFFCProfTot</vt:lpstr>
      <vt:lpstr>ACFFCPropTaxInput</vt:lpstr>
      <vt:lpstr>ACFFCPropTaxTot</vt:lpstr>
      <vt:lpstr>ACFFCTermInterestTot</vt:lpstr>
      <vt:lpstr>ACFGainBuildTot</vt:lpstr>
      <vt:lpstr>ACFGainEquipInput</vt:lpstr>
      <vt:lpstr>ACFGainEquipTot</vt:lpstr>
      <vt:lpstr>ACFGainPurchLivestockTot</vt:lpstr>
      <vt:lpstr>ACFGainVehTot</vt:lpstr>
      <vt:lpstr>ACFGovPayInput</vt:lpstr>
      <vt:lpstr>ACFGovPayTot</vt:lpstr>
      <vt:lpstr>ACFIncCustomWorkInput</vt:lpstr>
      <vt:lpstr>ACFIncCustomWorkTot</vt:lpstr>
      <vt:lpstr>ACFINVChangeInput</vt:lpstr>
      <vt:lpstr>ACFINVChangeTot</vt:lpstr>
      <vt:lpstr>ACFINVCropChangeTot</vt:lpstr>
      <vt:lpstr>ACFLivestockBSValTot</vt:lpstr>
      <vt:lpstr>ACFNewCredInput</vt:lpstr>
      <vt:lpstr>ACFNewCredTot</vt:lpstr>
      <vt:lpstr>ACFNewOpInput</vt:lpstr>
      <vt:lpstr>ACFNewOpTot</vt:lpstr>
      <vt:lpstr>ACFOpLoanBorrow</vt:lpstr>
      <vt:lpstr>ACFOthIncomeInput</vt:lpstr>
      <vt:lpstr>ACFOthTot</vt:lpstr>
      <vt:lpstr>ACFPatronageInput</vt:lpstr>
      <vt:lpstr>ACFPatronageTot</vt:lpstr>
      <vt:lpstr>ACFPChildCareInput</vt:lpstr>
      <vt:lpstr>ACFPChildCareTot</vt:lpstr>
      <vt:lpstr>ACFPChildSupInput</vt:lpstr>
      <vt:lpstr>ACFPChildSupTot</vt:lpstr>
      <vt:lpstr>ACFPClothingInput</vt:lpstr>
      <vt:lpstr>ACFPClothingTot</vt:lpstr>
      <vt:lpstr>ACFPDisInsInput</vt:lpstr>
      <vt:lpstr>ACFPDisInsTot</vt:lpstr>
      <vt:lpstr>ACFPEducationInput</vt:lpstr>
      <vt:lpstr>ACFPEducationTot</vt:lpstr>
      <vt:lpstr>ACFPFoodInput</vt:lpstr>
      <vt:lpstr>ACFPFoodTot</vt:lpstr>
      <vt:lpstr>ACFPGiftsInput</vt:lpstr>
      <vt:lpstr>ACFPGiftsTot</vt:lpstr>
      <vt:lpstr>ACFPIncInheritInput</vt:lpstr>
      <vt:lpstr>ACFPIncInheritTot</vt:lpstr>
      <vt:lpstr>ACFPIncPersLoansInput</vt:lpstr>
      <vt:lpstr>ACFPIncPersLoansInputLoan</vt:lpstr>
      <vt:lpstr>ACFPIncPersLoansTot</vt:lpstr>
      <vt:lpstr>ACFPIncPersLoansTotLoan</vt:lpstr>
      <vt:lpstr>ACFPIncPersREEInput</vt:lpstr>
      <vt:lpstr>ACFPIncPersREEInputLoan</vt:lpstr>
      <vt:lpstr>aCFPIncPersREETot</vt:lpstr>
      <vt:lpstr>ACFPIncPersREETotLoan</vt:lpstr>
      <vt:lpstr>ACFPIncTaxInput</vt:lpstr>
      <vt:lpstr>ACFPIncTaxTot</vt:lpstr>
      <vt:lpstr>ACFPInsInput</vt:lpstr>
      <vt:lpstr>ACFPInsTot</vt:lpstr>
      <vt:lpstr>ACFPIntIncTot</vt:lpstr>
      <vt:lpstr>ACFPIntInput</vt:lpstr>
      <vt:lpstr>ACFPInvestInput</vt:lpstr>
      <vt:lpstr>ACFPInvestTot</vt:lpstr>
      <vt:lpstr>ACFPLifeInsInput</vt:lpstr>
      <vt:lpstr>ACFPLifeInsTot</vt:lpstr>
      <vt:lpstr>ACFPLoanPayInput</vt:lpstr>
      <vt:lpstr>ACFPLoanPayTot</vt:lpstr>
      <vt:lpstr>ACFPMedicalInput</vt:lpstr>
      <vt:lpstr>ACFPMedicalTot</vt:lpstr>
      <vt:lpstr>ACFPMortInput</vt:lpstr>
      <vt:lpstr>ACFPMortTot</vt:lpstr>
      <vt:lpstr>ACFPOthIncInput</vt:lpstr>
      <vt:lpstr>ACFPOthIncTot</vt:lpstr>
      <vt:lpstr>ACFPOthPayInput</vt:lpstr>
      <vt:lpstr>ACFPOthPayTot</vt:lpstr>
      <vt:lpstr>ACFPOthPurchInput</vt:lpstr>
      <vt:lpstr>ACFPOthPurchTot</vt:lpstr>
      <vt:lpstr>ACFPPersCapPurchInput</vt:lpstr>
      <vt:lpstr>ACFPPersCapPurchTot</vt:lpstr>
      <vt:lpstr>ACFPPersCareInput</vt:lpstr>
      <vt:lpstr>ACFPPersCareTot</vt:lpstr>
      <vt:lpstr>ACFPPersRetirementInput</vt:lpstr>
      <vt:lpstr>ACFPPersRetirementTot</vt:lpstr>
      <vt:lpstr>ACFPPersVehPurchInput</vt:lpstr>
      <vt:lpstr>ACFPPersVehPurchTot</vt:lpstr>
      <vt:lpstr>ACFPPropInsInput</vt:lpstr>
      <vt:lpstr>ACFPPropInsTot</vt:lpstr>
      <vt:lpstr>ACFPRecInput</vt:lpstr>
      <vt:lpstr>ACFPRecTot</vt:lpstr>
      <vt:lpstr>ACFPRETaxesInput</vt:lpstr>
      <vt:lpstr>ACFPRETaxesTot</vt:lpstr>
      <vt:lpstr>ACFPrinInput</vt:lpstr>
      <vt:lpstr>ACFPrinOpTot</vt:lpstr>
      <vt:lpstr>ACFPrinTot</vt:lpstr>
      <vt:lpstr>ACFPSupInput</vt:lpstr>
      <vt:lpstr>ACFPSupTot</vt:lpstr>
      <vt:lpstr>ACFPUtilInput</vt:lpstr>
      <vt:lpstr>ACFPUtilTot</vt:lpstr>
      <vt:lpstr>ACFPVehInput</vt:lpstr>
      <vt:lpstr>ACFPVehTot</vt:lpstr>
      <vt:lpstr>ACFPWagesInput</vt:lpstr>
      <vt:lpstr>ACFPWagesTot</vt:lpstr>
      <vt:lpstr>ACFSalesBuildInput</vt:lpstr>
      <vt:lpstr>ACFSalesBuildTot</vt:lpstr>
      <vt:lpstr>ACFSalesCropsInput</vt:lpstr>
      <vt:lpstr>ACFSalesCropTot</vt:lpstr>
      <vt:lpstr>ACFSalesEquipInput</vt:lpstr>
      <vt:lpstr>ACFSalesEquipTot</vt:lpstr>
      <vt:lpstr>ACFSalesLandTot</vt:lpstr>
      <vt:lpstr>ACFSalesLivestockInput</vt:lpstr>
      <vt:lpstr>ACFSalesLivestockProdInput</vt:lpstr>
      <vt:lpstr>ACFSalesLivestockProdTot</vt:lpstr>
      <vt:lpstr>ACFSalesLivestockTot</vt:lpstr>
      <vt:lpstr>ACFSalesLvskTot</vt:lpstr>
      <vt:lpstr>ACFSalesVegFruitInput</vt:lpstr>
      <vt:lpstr>ACFSalesVegFruitTot</vt:lpstr>
      <vt:lpstr>ACFSalesVehTot</vt:lpstr>
      <vt:lpstr>ACFValueLaborTot</vt:lpstr>
      <vt:lpstr>ACFVCChemInput</vt:lpstr>
      <vt:lpstr>ACFVCChemTot</vt:lpstr>
      <vt:lpstr>ACFVCCropConsultInput</vt:lpstr>
      <vt:lpstr>ACFVCCropConsultTot</vt:lpstr>
      <vt:lpstr>ACFVCCropInsInput</vt:lpstr>
      <vt:lpstr>ACFVCCropInsTot</vt:lpstr>
      <vt:lpstr>ACFVCCropMarketingInput</vt:lpstr>
      <vt:lpstr>ACFVCCropMarketingTot</vt:lpstr>
      <vt:lpstr>ACFVCCropSuppliesInput</vt:lpstr>
      <vt:lpstr>ACFVCCropSuppliesTot</vt:lpstr>
      <vt:lpstr>ACFVCCustomHireInput</vt:lpstr>
      <vt:lpstr>ACFVCCustomHireTot</vt:lpstr>
      <vt:lpstr>ACFVCDryingInput</vt:lpstr>
      <vt:lpstr>ACFVCDryingTot</vt:lpstr>
      <vt:lpstr>ACFVCFeederLivestockInput</vt:lpstr>
      <vt:lpstr>ACFVCFeederLivestockTot</vt:lpstr>
      <vt:lpstr>ACFVCFertilizerInput</vt:lpstr>
      <vt:lpstr>ACFVCFertilizerTot</vt:lpstr>
      <vt:lpstr>ACFVCFuelInput</vt:lpstr>
      <vt:lpstr>ACFVCFuelTot</vt:lpstr>
      <vt:lpstr>ACFVCGovProgInput</vt:lpstr>
      <vt:lpstr>ACFVCGovProgTot</vt:lpstr>
      <vt:lpstr>ACFVCGrazingInput</vt:lpstr>
      <vt:lpstr>ACFVCGrazingTot</vt:lpstr>
      <vt:lpstr>ACFVCGreenhouseSuppliesInput</vt:lpstr>
      <vt:lpstr>ACFVCGreenhouseSuppliesTot</vt:lpstr>
      <vt:lpstr>ACFVCIrrigationInput</vt:lpstr>
      <vt:lpstr>ACFVCIrrigationTot</vt:lpstr>
      <vt:lpstr>ACFVCLaborInput</vt:lpstr>
      <vt:lpstr>ACFVCLaborTot</vt:lpstr>
      <vt:lpstr>ACFVCLivestockConsultTot</vt:lpstr>
      <vt:lpstr>ACFVCLivestockInsuranceInput</vt:lpstr>
      <vt:lpstr>ACFVCLivestockInsuranceTot</vt:lpstr>
      <vt:lpstr>ACFVCLivestockMarketingInput</vt:lpstr>
      <vt:lpstr>ACFVCLivestockMarketingTot</vt:lpstr>
      <vt:lpstr>ACFVCLivestockSuppliesInput</vt:lpstr>
      <vt:lpstr>ACFVCLivestockSuppliesTot</vt:lpstr>
      <vt:lpstr>ACFVCOthInput</vt:lpstr>
      <vt:lpstr>ACFVCOthTot</vt:lpstr>
      <vt:lpstr>ACFVCPurchFeedInput</vt:lpstr>
      <vt:lpstr>ACFVCPurchFeedTot</vt:lpstr>
      <vt:lpstr>ACFVCRepairsInput</vt:lpstr>
      <vt:lpstr>ACFVCRepairsTot</vt:lpstr>
      <vt:lpstr>ACFVCSeedInput</vt:lpstr>
      <vt:lpstr>ACFVCSeedTot</vt:lpstr>
      <vt:lpstr>ACFVCStorageInput</vt:lpstr>
      <vt:lpstr>ACFVCStorageTot</vt:lpstr>
      <vt:lpstr>ACFVCTaxesInput</vt:lpstr>
      <vt:lpstr>ACFVCTaxesTot</vt:lpstr>
      <vt:lpstr>ACFVCUtilInput</vt:lpstr>
      <vt:lpstr>ACFVCUtilTot</vt:lpstr>
      <vt:lpstr>ACFVCVetInput</vt:lpstr>
      <vt:lpstr>ACFVCVetTot</vt:lpstr>
      <vt:lpstr>Address</vt:lpstr>
      <vt:lpstr>AnnualIcon</vt:lpstr>
      <vt:lpstr>BalanceSheet</vt:lpstr>
      <vt:lpstr>Blank</vt:lpstr>
      <vt:lpstr>BusName</vt:lpstr>
      <vt:lpstr>CABusLoanEntry</vt:lpstr>
      <vt:lpstr>CABusLoansRecTot</vt:lpstr>
      <vt:lpstr>CACashEntry</vt:lpstr>
      <vt:lpstr>CACashTot</vt:lpstr>
      <vt:lpstr>CADueEntry</vt:lpstr>
      <vt:lpstr>CADueProcTot</vt:lpstr>
      <vt:lpstr>CAOthAREntry</vt:lpstr>
      <vt:lpstr>CAOtherEntry</vt:lpstr>
      <vt:lpstr>CAOtherTot</vt:lpstr>
      <vt:lpstr>CAOthRecTot</vt:lpstr>
      <vt:lpstr>CAPrepaidEntry</vt:lpstr>
      <vt:lpstr>CAPrepaids</vt:lpstr>
      <vt:lpstr>CAPrepaidTot</vt:lpstr>
      <vt:lpstr>CashDetail</vt:lpstr>
      <vt:lpstr>City</vt:lpstr>
      <vt:lpstr>CLAPEntry</vt:lpstr>
      <vt:lpstr>CLAPTot</vt:lpstr>
      <vt:lpstr>CLBizAcrIntEntry</vt:lpstr>
      <vt:lpstr>CLBizAcrIntTot</vt:lpstr>
      <vt:lpstr>CLBizCCEntry</vt:lpstr>
      <vt:lpstr>CLBizCCTot</vt:lpstr>
      <vt:lpstr>CLOthCurEntry</vt:lpstr>
      <vt:lpstr>CLOthCurTot</vt:lpstr>
      <vt:lpstr>CLTaxesEntry</vt:lpstr>
      <vt:lpstr>CLTaxesTot</vt:lpstr>
      <vt:lpstr>'Final Income and Cash Flows'!Criteria</vt:lpstr>
      <vt:lpstr>CumulativeCashApr</vt:lpstr>
      <vt:lpstr>CumulativeCashAug</vt:lpstr>
      <vt:lpstr>CumulativeCashDec</vt:lpstr>
      <vt:lpstr>CumulativeCashFeb</vt:lpstr>
      <vt:lpstr>CumulativeCashJan</vt:lpstr>
      <vt:lpstr>CumulativeCashJuly</vt:lpstr>
      <vt:lpstr>CumulativeCashJune</vt:lpstr>
      <vt:lpstr>CumulativeCashMar</vt:lpstr>
      <vt:lpstr>CumulativeCashMay</vt:lpstr>
      <vt:lpstr>CumulativeCashNov</vt:lpstr>
      <vt:lpstr>CumulativeCashOct</vt:lpstr>
      <vt:lpstr>CumulativeCashSept</vt:lpstr>
      <vt:lpstr>CurAssetsDet</vt:lpstr>
      <vt:lpstr>CurPortLT</vt:lpstr>
      <vt:lpstr>CurPortLTProjected</vt:lpstr>
      <vt:lpstr>CurrentAssetsDetail</vt:lpstr>
      <vt:lpstr>DashboardChoiceExpGraphChoice</vt:lpstr>
      <vt:lpstr>DashboardChoiceIncExpGraph</vt:lpstr>
      <vt:lpstr>DashboardChoiceIncExpGraphChoice</vt:lpstr>
      <vt:lpstr>DMNetIncome</vt:lpstr>
      <vt:lpstr>EndCashIncomeStatement</vt:lpstr>
      <vt:lpstr>EndingCash</vt:lpstr>
      <vt:lpstr>EndingCashApril</vt:lpstr>
      <vt:lpstr>EndingCashAug</vt:lpstr>
      <vt:lpstr>EndingCashDec</vt:lpstr>
      <vt:lpstr>EndingCashFeb</vt:lpstr>
      <vt:lpstr>EndingCashJan</vt:lpstr>
      <vt:lpstr>EndingCashJuly</vt:lpstr>
      <vt:lpstr>EndingCashJune</vt:lpstr>
      <vt:lpstr>EndingCashMarch</vt:lpstr>
      <vt:lpstr>EndingCashMay</vt:lpstr>
      <vt:lpstr>EndingCashNov</vt:lpstr>
      <vt:lpstr>EndingCashOct</vt:lpstr>
      <vt:lpstr>EndingCashSept</vt:lpstr>
      <vt:lpstr>FishingNetIncome</vt:lpstr>
      <vt:lpstr>GenDate</vt:lpstr>
      <vt:lpstr>GenInfoBSDate</vt:lpstr>
      <vt:lpstr>HowSell</vt:lpstr>
      <vt:lpstr>HowSellText</vt:lpstr>
      <vt:lpstr>InvCropsEntry</vt:lpstr>
      <vt:lpstr>InvLivestockEntry</vt:lpstr>
      <vt:lpstr>InvOtherEntry</vt:lpstr>
      <vt:lpstr>'Projected Inventory'!InvProjCropsEntry</vt:lpstr>
      <vt:lpstr>InvProjCropsEntryProj</vt:lpstr>
      <vt:lpstr>'Projected Inventory'!InvProjLivestockEntry</vt:lpstr>
      <vt:lpstr>InvProjLivestockEntryProj</vt:lpstr>
      <vt:lpstr>InvProjOthEntryProj</vt:lpstr>
      <vt:lpstr>'Projected Inventory'!InvProjOtherEntry</vt:lpstr>
      <vt:lpstr>InvTCropsEntry</vt:lpstr>
      <vt:lpstr>InvTLivestockEntry</vt:lpstr>
      <vt:lpstr>InvTOtherEntry</vt:lpstr>
      <vt:lpstr>'Projected Inventory'!InvTProjCropsEntry</vt:lpstr>
      <vt:lpstr>'Projected Inventory'!InvTProjLivestockEntry</vt:lpstr>
      <vt:lpstr>'Projected Inventory'!InvTProjOtherEntry</vt:lpstr>
      <vt:lpstr>LoanAccrInt</vt:lpstr>
      <vt:lpstr>LoanAccrIntPers</vt:lpstr>
      <vt:lpstr>LoanAccrIntProj</vt:lpstr>
      <vt:lpstr>LoanAccrIntProjPers</vt:lpstr>
      <vt:lpstr>LoanBuildEntry</vt:lpstr>
      <vt:lpstr>LoanBuildEntryProjected</vt:lpstr>
      <vt:lpstr>LoanBVehEntry</vt:lpstr>
      <vt:lpstr>LoanBVehEntryProjected</vt:lpstr>
      <vt:lpstr>LoanCurrent</vt:lpstr>
      <vt:lpstr>LoanEquipmentEntry</vt:lpstr>
      <vt:lpstr>LoanEquipmentEntryProjected</vt:lpstr>
      <vt:lpstr>LoanFreq</vt:lpstr>
      <vt:lpstr>LoanLivestockEntry</vt:lpstr>
      <vt:lpstr>LoanLivestockEntryProjected</vt:lpstr>
      <vt:lpstr>LoanOthBizEntry</vt:lpstr>
      <vt:lpstr>LoanOthBizEntryProjected</vt:lpstr>
      <vt:lpstr>LoanPersEntry</vt:lpstr>
      <vt:lpstr>LoanPersEntryCurrent</vt:lpstr>
      <vt:lpstr>LoanPersEntryCurrentProjected</vt:lpstr>
      <vt:lpstr>LoanPersEntryProjected</vt:lpstr>
      <vt:lpstr>LoanPersREEntry</vt:lpstr>
      <vt:lpstr>LoanPersREEntryCurrent</vt:lpstr>
      <vt:lpstr>LoanPersREEntryCurrentProjected</vt:lpstr>
      <vt:lpstr>LoanPersREEntryProjected</vt:lpstr>
      <vt:lpstr>LoanProjSumAgBusAccrInt</vt:lpstr>
      <vt:lpstr>LoanProjSumAgBusCurr</vt:lpstr>
      <vt:lpstr>LoanProjSumAgBusPayment</vt:lpstr>
      <vt:lpstr>LoanProjSumAgBusRem</vt:lpstr>
      <vt:lpstr>LoanProjSumDMBusAccrInt</vt:lpstr>
      <vt:lpstr>LoanProjSumDMBusCurr</vt:lpstr>
      <vt:lpstr>LoanProjSumDMBusPayment</vt:lpstr>
      <vt:lpstr>LoanProjSumDMBusRem</vt:lpstr>
      <vt:lpstr>LoanProjSumDMOpAccrInt</vt:lpstr>
      <vt:lpstr>LoanProjSumDMOpCurr</vt:lpstr>
      <vt:lpstr>LoanProjSumDMOpPayment</vt:lpstr>
      <vt:lpstr>LoanProjSumDMOpRem</vt:lpstr>
      <vt:lpstr>LoanProjSumOpAgAccrInt</vt:lpstr>
      <vt:lpstr>LoanProjSumOpAgCurr</vt:lpstr>
      <vt:lpstr>LoanProjSumOpAgPayment</vt:lpstr>
      <vt:lpstr>LoanProjSumOpAgRem</vt:lpstr>
      <vt:lpstr>LoanProjSumPersAccrInt</vt:lpstr>
      <vt:lpstr>LoanProjSumPersCurr</vt:lpstr>
      <vt:lpstr>LoanProjSumPersPayment</vt:lpstr>
      <vt:lpstr>LoanProjSumPersREAccrInt</vt:lpstr>
      <vt:lpstr>LoanProjSumPersRECurr</vt:lpstr>
      <vt:lpstr>LoanProjSumPersRem</vt:lpstr>
      <vt:lpstr>LoanProjSumPersREPayment</vt:lpstr>
      <vt:lpstr>LoanProjSumPersRERem</vt:lpstr>
      <vt:lpstr>LoanProposedEntry</vt:lpstr>
      <vt:lpstr>LoanREEntry</vt:lpstr>
      <vt:lpstr>LoanREEntryProjected</vt:lpstr>
      <vt:lpstr>LoanTBuildEntry</vt:lpstr>
      <vt:lpstr>LoanTBVeh</vt:lpstr>
      <vt:lpstr>LoanTCurrEntry</vt:lpstr>
      <vt:lpstr>LoanTEquipEntry</vt:lpstr>
      <vt:lpstr>LoanTEquipment</vt:lpstr>
      <vt:lpstr>LoanTEquipmentEntry</vt:lpstr>
      <vt:lpstr>LoanTLivestockEntry</vt:lpstr>
      <vt:lpstr>LoanTOthBiz</vt:lpstr>
      <vt:lpstr>LoanTPerREEntry</vt:lpstr>
      <vt:lpstr>LoanTPersEntry</vt:lpstr>
      <vt:lpstr>LoanTREEntry</vt:lpstr>
      <vt:lpstr>MCFBegLoanBalInput</vt:lpstr>
      <vt:lpstr>MCFBegLoanBalTot</vt:lpstr>
      <vt:lpstr>MCFBuildBSValInput</vt:lpstr>
      <vt:lpstr>MCFBuildBSValTot</vt:lpstr>
      <vt:lpstr>MCFCapPurchBuildingsInput</vt:lpstr>
      <vt:lpstr>MCFCapPurchBuildingsTot</vt:lpstr>
      <vt:lpstr>MCFCapPurchEquipInput</vt:lpstr>
      <vt:lpstr>MCFCapPurchEquipTot</vt:lpstr>
      <vt:lpstr>MCFCapPurchLandInput</vt:lpstr>
      <vt:lpstr>MCFCapPurchLandTot</vt:lpstr>
      <vt:lpstr>MCFCapPurchLivestockInput</vt:lpstr>
      <vt:lpstr>MCFCapPurchLivestockTot</vt:lpstr>
      <vt:lpstr>MCFCapPurchVehInput</vt:lpstr>
      <vt:lpstr>MCFCapPurchVehTot</vt:lpstr>
      <vt:lpstr>MCFCropInsIncInput</vt:lpstr>
      <vt:lpstr>MCFCropInsIncTot</vt:lpstr>
      <vt:lpstr>MCFCullIncomeInput</vt:lpstr>
      <vt:lpstr>MCFCullIncomeTot</vt:lpstr>
      <vt:lpstr>MCFDMCapPurchInput</vt:lpstr>
      <vt:lpstr>MCFDMCapPurchTot</vt:lpstr>
      <vt:lpstr>MCFDMEquipBSValInput</vt:lpstr>
      <vt:lpstr>MCFDMEquipBSValTot</vt:lpstr>
      <vt:lpstr>MCFDMEquipGainInput</vt:lpstr>
      <vt:lpstr>MCFDMEquipGainTot</vt:lpstr>
      <vt:lpstr>MCFDMEquipSaleInput</vt:lpstr>
      <vt:lpstr>MCFDMEquipSaleTot</vt:lpstr>
      <vt:lpstr>MCFDMEtcInput</vt:lpstr>
      <vt:lpstr>MCFDMEtcTot</vt:lpstr>
      <vt:lpstr>MCFDMFCDeprInput</vt:lpstr>
      <vt:lpstr>MCFDMFCDeprTot</vt:lpstr>
      <vt:lpstr>MCFDMFCIntInput</vt:lpstr>
      <vt:lpstr>MCFDMFCIntTot</vt:lpstr>
      <vt:lpstr>MCFDMFCMiscInput</vt:lpstr>
      <vt:lpstr>MCFDMFCMiscTot</vt:lpstr>
      <vt:lpstr>MCFDMFCOthInput</vt:lpstr>
      <vt:lpstr>MCFDMFCOthTot</vt:lpstr>
      <vt:lpstr>MCFDMFCPermitsInput</vt:lpstr>
      <vt:lpstr>MCFDMFCPermitTot</vt:lpstr>
      <vt:lpstr>MCFDMFCPromoInput</vt:lpstr>
      <vt:lpstr>MCFDMFCPromoTot</vt:lpstr>
      <vt:lpstr>MCFDMFCRentInput</vt:lpstr>
      <vt:lpstr>MCFDMFCRentTot</vt:lpstr>
      <vt:lpstr>MCFDMFCVehInput</vt:lpstr>
      <vt:lpstr>MCFDMFCVehTot</vt:lpstr>
      <vt:lpstr>MCFDMINVChangeInput</vt:lpstr>
      <vt:lpstr>MCFDMINVChangeTot</vt:lpstr>
      <vt:lpstr>MCFDMNewCredInput</vt:lpstr>
      <vt:lpstr>MCFDMNewCredTot</vt:lpstr>
      <vt:lpstr>MCFDMNewDMOpInput</vt:lpstr>
      <vt:lpstr>MCFDMNewDMOpTot</vt:lpstr>
      <vt:lpstr>MCFDMOthInput</vt:lpstr>
      <vt:lpstr>MCFDMOthTot</vt:lpstr>
      <vt:lpstr>MCFDMPrinInput</vt:lpstr>
      <vt:lpstr>MCFDMPrinTot</vt:lpstr>
      <vt:lpstr>MCFDMSalesCSAInput</vt:lpstr>
      <vt:lpstr>MCFDMSalesCSATot</vt:lpstr>
      <vt:lpstr>MCFDMSalesFarmMktInput</vt:lpstr>
      <vt:lpstr>MCFDMSalesFarmMktTot</vt:lpstr>
      <vt:lpstr>MCFDMSalesFarmstandInput</vt:lpstr>
      <vt:lpstr>MCFDMSalesFarmstandTot</vt:lpstr>
      <vt:lpstr>MCFDMSalesOtherInput</vt:lpstr>
      <vt:lpstr>MCFDMSalesOtherTot</vt:lpstr>
      <vt:lpstr>MCFDMValueLaborInput</vt:lpstr>
      <vt:lpstr>MCFDMValueLaborTot</vt:lpstr>
      <vt:lpstr>MCFDMVCColdInput</vt:lpstr>
      <vt:lpstr>MCFDMVCColdTot</vt:lpstr>
      <vt:lpstr>MCFDMVCInsInput</vt:lpstr>
      <vt:lpstr>MCFDMVCInsTot</vt:lpstr>
      <vt:lpstr>MCFDMVCLaborInput</vt:lpstr>
      <vt:lpstr>MCFDMVCLaborTot</vt:lpstr>
      <vt:lpstr>MCFDMVCMktSuppInput</vt:lpstr>
      <vt:lpstr>MCFDMVCMktSuppTot</vt:lpstr>
      <vt:lpstr>MCFDMVCOthInput</vt:lpstr>
      <vt:lpstr>MCFDMVCOthTot</vt:lpstr>
      <vt:lpstr>MCFDMVCPackInput</vt:lpstr>
      <vt:lpstr>MCFDMVCPackTot</vt:lpstr>
      <vt:lpstr>MCFDMVCResaleInput</vt:lpstr>
      <vt:lpstr>MCFDMVCResaleTot</vt:lpstr>
      <vt:lpstr>MCFDMVCShippingInput</vt:lpstr>
      <vt:lpstr>MCFDMVCShippingTot</vt:lpstr>
      <vt:lpstr>MCFDMVCSuppliedInput</vt:lpstr>
      <vt:lpstr>MCFDMVCSuppliesTot</vt:lpstr>
      <vt:lpstr>MCFDMVCUtilInput</vt:lpstr>
      <vt:lpstr>MCFDMVCUtilTot</vt:lpstr>
      <vt:lpstr>MCFEndLoanBalInput</vt:lpstr>
      <vt:lpstr>MCFEndLoanBalTot</vt:lpstr>
      <vt:lpstr>MCFEquipBSValInput</vt:lpstr>
      <vt:lpstr>MCFEquipBSValTot</vt:lpstr>
      <vt:lpstr>MCFEquipBSVehInput</vt:lpstr>
      <vt:lpstr>MCFEquipBSVehTot</vt:lpstr>
      <vt:lpstr>MCFFCCarTruckInput</vt:lpstr>
      <vt:lpstr>MCFFCCarTruckTot</vt:lpstr>
      <vt:lpstr>MCFFCConservationInput</vt:lpstr>
      <vt:lpstr>MCFFCConservationTot</vt:lpstr>
      <vt:lpstr>MCFFCDeprBuildInput</vt:lpstr>
      <vt:lpstr>MCFFCDeprBuildTot</vt:lpstr>
      <vt:lpstr>MCFFCDeprEquipInput</vt:lpstr>
      <vt:lpstr>MCFFCDeprEquipTot</vt:lpstr>
      <vt:lpstr>MCFFCDeprLivestockInput</vt:lpstr>
      <vt:lpstr>MCFFCDeprLivestockTot</vt:lpstr>
      <vt:lpstr>MCFFCDeprVehInput</vt:lpstr>
      <vt:lpstr>MCFFCDeprVehTot</vt:lpstr>
      <vt:lpstr>MCFFCFarmInsInput</vt:lpstr>
      <vt:lpstr>MCFFCFarmInsTot</vt:lpstr>
      <vt:lpstr>MCFFCInterestInput</vt:lpstr>
      <vt:lpstr>MCFFCInterestTot</vt:lpstr>
      <vt:lpstr>MCFFCLandRentInput</vt:lpstr>
      <vt:lpstr>MCFFCLandRentTot</vt:lpstr>
      <vt:lpstr>MCFFCMachLeaseInput</vt:lpstr>
      <vt:lpstr>MCFFCMachLeaseTot</vt:lpstr>
      <vt:lpstr>MCFFCOpLoanInterestInput</vt:lpstr>
      <vt:lpstr>MCFFCOpLoanInterestTot</vt:lpstr>
      <vt:lpstr>MCFFCOthInput</vt:lpstr>
      <vt:lpstr>MCFFCOthTot</vt:lpstr>
      <vt:lpstr>MCFFCPermitInput</vt:lpstr>
      <vt:lpstr>MCFFCPermitTot</vt:lpstr>
      <vt:lpstr>MCFFCProfInput</vt:lpstr>
      <vt:lpstr>MCFFCProfTot</vt:lpstr>
      <vt:lpstr>MCFFCPropTaxesInput</vt:lpstr>
      <vt:lpstr>MCFFCPropTaxTot</vt:lpstr>
      <vt:lpstr>MCFFCTermInterestTot</vt:lpstr>
      <vt:lpstr>MCFGainBuildInput</vt:lpstr>
      <vt:lpstr>MCFGainBuildTot</vt:lpstr>
      <vt:lpstr>MCFGainEquipInput</vt:lpstr>
      <vt:lpstr>MCFGainEquipTot</vt:lpstr>
      <vt:lpstr>MCFGainPurchLivestockInput</vt:lpstr>
      <vt:lpstr>MCFGainPurchLivestockTot</vt:lpstr>
      <vt:lpstr>MCFGainVehInput</vt:lpstr>
      <vt:lpstr>MCFGainVehTot</vt:lpstr>
      <vt:lpstr>MCFGovPayInput</vt:lpstr>
      <vt:lpstr>MCFGovPayTot</vt:lpstr>
      <vt:lpstr>MCFIncCustomWorkInput</vt:lpstr>
      <vt:lpstr>MCFIncCustomWorkTot</vt:lpstr>
      <vt:lpstr>MCFIntOpTot</vt:lpstr>
      <vt:lpstr>MCFINVChangeInput</vt:lpstr>
      <vt:lpstr>MCFINVChangeTot</vt:lpstr>
      <vt:lpstr>MCFINVCropChangeInput</vt:lpstr>
      <vt:lpstr>MCFINVCropChangeTot</vt:lpstr>
      <vt:lpstr>MCFLivestockBSValInput</vt:lpstr>
      <vt:lpstr>MCFLivestockBSValTot</vt:lpstr>
      <vt:lpstr>MCFNewCredInput</vt:lpstr>
      <vt:lpstr>MCFNewCredTot</vt:lpstr>
      <vt:lpstr>MCFNewOpInput</vt:lpstr>
      <vt:lpstr>MCFNewOpTot</vt:lpstr>
      <vt:lpstr>MCFOpLoanBorrowInput</vt:lpstr>
      <vt:lpstr>MCFOpLoanBorrowTot</vt:lpstr>
      <vt:lpstr>MCFOthIncomeInput</vt:lpstr>
      <vt:lpstr>MCFOthTot</vt:lpstr>
      <vt:lpstr>MCFPatronageInput</vt:lpstr>
      <vt:lpstr>MCFPatronageTot</vt:lpstr>
      <vt:lpstr>MCFPChildCareInput</vt:lpstr>
      <vt:lpstr>MCFPChildCareTot</vt:lpstr>
      <vt:lpstr>MCFPChildSupportInput</vt:lpstr>
      <vt:lpstr>MCFPChildSupTot</vt:lpstr>
      <vt:lpstr>MCFPClothingInput</vt:lpstr>
      <vt:lpstr>MCFPClothingTot</vt:lpstr>
      <vt:lpstr>MCFPDisInsInput</vt:lpstr>
      <vt:lpstr>MCFPDisInsTot</vt:lpstr>
      <vt:lpstr>MCFPEducationInput</vt:lpstr>
      <vt:lpstr>MCFPEducationTot</vt:lpstr>
      <vt:lpstr>MCFPFoodInput</vt:lpstr>
      <vt:lpstr>MCFPFoodTot</vt:lpstr>
      <vt:lpstr>MCFPGiftsInput</vt:lpstr>
      <vt:lpstr>MCFPGiftsTot</vt:lpstr>
      <vt:lpstr>MCFPIncInheritInput</vt:lpstr>
      <vt:lpstr>MCFPIncInheritTot</vt:lpstr>
      <vt:lpstr>MCFPIncPersLoansInput</vt:lpstr>
      <vt:lpstr>MCFPIncPersLoansInputLoan</vt:lpstr>
      <vt:lpstr>MCFPIncPersLoansTot</vt:lpstr>
      <vt:lpstr>MCFPIncPersLoansTotLoan</vt:lpstr>
      <vt:lpstr>MCFPIncPersREEInput</vt:lpstr>
      <vt:lpstr>MCFPIncPersREEInputLoan</vt:lpstr>
      <vt:lpstr>MCFPIncPersREETot</vt:lpstr>
      <vt:lpstr>MCFPIncPersREETotLoan</vt:lpstr>
      <vt:lpstr>MCFPIncTaxInput</vt:lpstr>
      <vt:lpstr>MCFPIncTaxTot</vt:lpstr>
      <vt:lpstr>MCFPInsInput</vt:lpstr>
      <vt:lpstr>MCFPInsTot</vt:lpstr>
      <vt:lpstr>MCFPIntIncInput</vt:lpstr>
      <vt:lpstr>MCFPIntIncTot</vt:lpstr>
      <vt:lpstr>MCFPInvestInput</vt:lpstr>
      <vt:lpstr>MCFPInvestTot</vt:lpstr>
      <vt:lpstr>MCFPLifeInsInput</vt:lpstr>
      <vt:lpstr>MCFPLifeInsTot</vt:lpstr>
      <vt:lpstr>MCFPLoanPayInput</vt:lpstr>
      <vt:lpstr>MCFPLoanPayTot</vt:lpstr>
      <vt:lpstr>MCFPMedicalInput</vt:lpstr>
      <vt:lpstr>MCFPMedicalTot</vt:lpstr>
      <vt:lpstr>MCFPMortInput</vt:lpstr>
      <vt:lpstr>MCFPMortTot</vt:lpstr>
      <vt:lpstr>MCFPOthIncTot</vt:lpstr>
      <vt:lpstr>MCFPOthInput</vt:lpstr>
      <vt:lpstr>MCFPOthPayInput</vt:lpstr>
      <vt:lpstr>MCFPOthPayTot</vt:lpstr>
      <vt:lpstr>MCFPOthPurchInput</vt:lpstr>
      <vt:lpstr>MCFPOthPurchTot</vt:lpstr>
      <vt:lpstr>MCFPPersCapPurchInput</vt:lpstr>
      <vt:lpstr>MCFPPersCapPurchTot</vt:lpstr>
      <vt:lpstr>MCFPPersCareInput</vt:lpstr>
      <vt:lpstr>MCFPPersCareTot</vt:lpstr>
      <vt:lpstr>MCFPPersRetirementInput</vt:lpstr>
      <vt:lpstr>MCFPPersRetirementTot</vt:lpstr>
      <vt:lpstr>MCFPPersVehPurchInput</vt:lpstr>
      <vt:lpstr>MCFPPersVehPurchTot</vt:lpstr>
      <vt:lpstr>MCFPPropInsInput</vt:lpstr>
      <vt:lpstr>MCFPPropInsTot</vt:lpstr>
      <vt:lpstr>MCFPRecInput</vt:lpstr>
      <vt:lpstr>MCFPRecTot</vt:lpstr>
      <vt:lpstr>MCFPRETaxesInput</vt:lpstr>
      <vt:lpstr>MCFPRETaxesTot</vt:lpstr>
      <vt:lpstr>MCFPrinInput</vt:lpstr>
      <vt:lpstr>MCFPrinOpTot</vt:lpstr>
      <vt:lpstr>MCFPrinTot</vt:lpstr>
      <vt:lpstr>MCFPSupInput</vt:lpstr>
      <vt:lpstr>MCFPSupTot</vt:lpstr>
      <vt:lpstr>MCFPUtilInput</vt:lpstr>
      <vt:lpstr>MCFPUtilTot</vt:lpstr>
      <vt:lpstr>MCFPVehInput</vt:lpstr>
      <vt:lpstr>MCFPVehTot</vt:lpstr>
      <vt:lpstr>MCFPWageInput</vt:lpstr>
      <vt:lpstr>MCFPWagesTot</vt:lpstr>
      <vt:lpstr>MCFSalesBuildInput</vt:lpstr>
      <vt:lpstr>MCFSalesBuildTot</vt:lpstr>
      <vt:lpstr>MCFSalesCropsInput</vt:lpstr>
      <vt:lpstr>MCFSalesCropTot</vt:lpstr>
      <vt:lpstr>MCFSalesEquipInput</vt:lpstr>
      <vt:lpstr>MCFSalesEquipTot</vt:lpstr>
      <vt:lpstr>MCFSalesLandInput</vt:lpstr>
      <vt:lpstr>MCFSalesLandTot</vt:lpstr>
      <vt:lpstr>MCFSalesLivestockInput</vt:lpstr>
      <vt:lpstr>MCFSalesLivestockProdInput</vt:lpstr>
      <vt:lpstr>MCFSalesLivestockProdTot</vt:lpstr>
      <vt:lpstr>MCFSalesLivestockTot</vt:lpstr>
      <vt:lpstr>MCFSalesLvskInput</vt:lpstr>
      <vt:lpstr>MCFSalesLvskTot</vt:lpstr>
      <vt:lpstr>MCFSalesVegFruitInput</vt:lpstr>
      <vt:lpstr>MCFSalesVegFruitTot</vt:lpstr>
      <vt:lpstr>MCFSalesVehInput</vt:lpstr>
      <vt:lpstr>MCFSalesVehTot</vt:lpstr>
      <vt:lpstr>MCFValueLaborInput</vt:lpstr>
      <vt:lpstr>MCFValueLaborTot</vt:lpstr>
      <vt:lpstr>MCFVCChemInput</vt:lpstr>
      <vt:lpstr>MCFVCChemTot</vt:lpstr>
      <vt:lpstr>MCFVCCropConsultInput</vt:lpstr>
      <vt:lpstr>MCFVCCropConsultTot</vt:lpstr>
      <vt:lpstr>MCFVCCropInsInput</vt:lpstr>
      <vt:lpstr>MCFVCCropInsTot</vt:lpstr>
      <vt:lpstr>MCFVCCropMarketingInput</vt:lpstr>
      <vt:lpstr>MCFVCCropMarketingTot</vt:lpstr>
      <vt:lpstr>MCFVCCropSuppliesInput</vt:lpstr>
      <vt:lpstr>MCFVCCropSuppliesTot</vt:lpstr>
      <vt:lpstr>MCFVCCustomHireInput</vt:lpstr>
      <vt:lpstr>MCFVCCustomHireTot</vt:lpstr>
      <vt:lpstr>MCFVCDryingInput</vt:lpstr>
      <vt:lpstr>MCFVCDryingTot</vt:lpstr>
      <vt:lpstr>MCFVCFeederLivestockInput</vt:lpstr>
      <vt:lpstr>MCFVCFeederLivestockTot</vt:lpstr>
      <vt:lpstr>MCFVCFertilizerInput</vt:lpstr>
      <vt:lpstr>MCFVCFertilizerTot</vt:lpstr>
      <vt:lpstr>MCFVCFuelInput</vt:lpstr>
      <vt:lpstr>MCFVCFuelTot</vt:lpstr>
      <vt:lpstr>MCFVCGovProgInput</vt:lpstr>
      <vt:lpstr>MCFVCGovProgTot</vt:lpstr>
      <vt:lpstr>MCFVCGrazingInput</vt:lpstr>
      <vt:lpstr>MCFVCGrazingTot</vt:lpstr>
      <vt:lpstr>MCFVCGreenhouseSuppliesInput</vt:lpstr>
      <vt:lpstr>MCFVCGreenhouseSuppliesTot</vt:lpstr>
      <vt:lpstr>MCFVCIrrigationInput</vt:lpstr>
      <vt:lpstr>MCFVCIrrigationTot</vt:lpstr>
      <vt:lpstr>MCFVCLaborInput</vt:lpstr>
      <vt:lpstr>MCFVCLaborTot</vt:lpstr>
      <vt:lpstr>MCFVCLivestockConsultInput</vt:lpstr>
      <vt:lpstr>MCFVCLivestockConsultTot</vt:lpstr>
      <vt:lpstr>MCFVCLivestockInsuranceInput</vt:lpstr>
      <vt:lpstr>MCFVCLivestockInsuranceTot</vt:lpstr>
      <vt:lpstr>MCFVCLivestockMarketingInput</vt:lpstr>
      <vt:lpstr>MCFVCLivestockMarketingTot</vt:lpstr>
      <vt:lpstr>MCFVCLivestockSuppliesInput</vt:lpstr>
      <vt:lpstr>MCFVCLivestockSuppliesTot</vt:lpstr>
      <vt:lpstr>MCFVCOthInput</vt:lpstr>
      <vt:lpstr>MCFVCOthTot</vt:lpstr>
      <vt:lpstr>MCFVCPurchFeedInput</vt:lpstr>
      <vt:lpstr>MCFVCPurchFeedTot</vt:lpstr>
      <vt:lpstr>MCFVCRepairsInput</vt:lpstr>
      <vt:lpstr>MCFVCRepairsTot</vt:lpstr>
      <vt:lpstr>MCFVCSeedInput</vt:lpstr>
      <vt:lpstr>MCFVCSeedTot</vt:lpstr>
      <vt:lpstr>MCFVCStorageInput</vt:lpstr>
      <vt:lpstr>MCFVCStorageTot</vt:lpstr>
      <vt:lpstr>MCFVCTaxesInput</vt:lpstr>
      <vt:lpstr>MCFVCTaxesTot</vt:lpstr>
      <vt:lpstr>MCFVCUtilInput</vt:lpstr>
      <vt:lpstr>MCFVCUtilTot</vt:lpstr>
      <vt:lpstr>MCFVCVetInput</vt:lpstr>
      <vt:lpstr>MCFVCVetTot</vt:lpstr>
      <vt:lpstr>MonthlyIcon1</vt:lpstr>
      <vt:lpstr>Months</vt:lpstr>
      <vt:lpstr>Name</vt:lpstr>
      <vt:lpstr>NCAssetsDetail</vt:lpstr>
      <vt:lpstr>NCBizVehEntry</vt:lpstr>
      <vt:lpstr>NCBizVehTot</vt:lpstr>
      <vt:lpstr>NCBreedLivestockEntry</vt:lpstr>
      <vt:lpstr>NCBreedLivestockTot</vt:lpstr>
      <vt:lpstr>NCBuildingsEntry</vt:lpstr>
      <vt:lpstr>NCBuildingsTot</vt:lpstr>
      <vt:lpstr>NCEquipmentEntry</vt:lpstr>
      <vt:lpstr>NCEquipmentTot</vt:lpstr>
      <vt:lpstr>NCLandEntry</vt:lpstr>
      <vt:lpstr>NCLandTot</vt:lpstr>
      <vt:lpstr>NCOthBizEntry</vt:lpstr>
      <vt:lpstr>NCOthBizTot</vt:lpstr>
      <vt:lpstr>NCOthLiabEntry</vt:lpstr>
      <vt:lpstr>NCOthLiabTot</vt:lpstr>
      <vt:lpstr>NCPurchBreedLivestockTot</vt:lpstr>
      <vt:lpstr>NCREEntry</vt:lpstr>
      <vt:lpstr>NCRETot</vt:lpstr>
      <vt:lpstr>NetIncomeAgYear1</vt:lpstr>
      <vt:lpstr>NetIncomeAgYear2</vt:lpstr>
      <vt:lpstr>NetIncomeDMYear1</vt:lpstr>
      <vt:lpstr>NetIncomeDMYear2</vt:lpstr>
      <vt:lpstr>NumberOperators</vt:lpstr>
      <vt:lpstr>NumberOperatorsValue</vt:lpstr>
      <vt:lpstr>PersCashEntry</vt:lpstr>
      <vt:lpstr>PersCashTot</vt:lpstr>
      <vt:lpstr>PersLAPEntry</vt:lpstr>
      <vt:lpstr>PersLAPTot</vt:lpstr>
      <vt:lpstr>PersLCCEntry</vt:lpstr>
      <vt:lpstr>PersLCCTot</vt:lpstr>
      <vt:lpstr>PersLifeInsEntry</vt:lpstr>
      <vt:lpstr>PersLifeInsTot</vt:lpstr>
      <vt:lpstr>PersLoanEntry</vt:lpstr>
      <vt:lpstr>PersLoanRTot</vt:lpstr>
      <vt:lpstr>PersLOthEntry</vt:lpstr>
      <vt:lpstr>PersLOthTot</vt:lpstr>
      <vt:lpstr>PersLTaxesEntry</vt:lpstr>
      <vt:lpstr>PersLTaxesTot</vt:lpstr>
      <vt:lpstr>PersOthEntry</vt:lpstr>
      <vt:lpstr>PersOthTot</vt:lpstr>
      <vt:lpstr>PersPropEntry</vt:lpstr>
      <vt:lpstr>PersPropTot</vt:lpstr>
      <vt:lpstr>PersREEntry</vt:lpstr>
      <vt:lpstr>PersRetireEntry</vt:lpstr>
      <vt:lpstr>PersRetireTot</vt:lpstr>
      <vt:lpstr>PersRETot</vt:lpstr>
      <vt:lpstr>PersStockEntry</vt:lpstr>
      <vt:lpstr>PersStockTot</vt:lpstr>
      <vt:lpstr>PersVehEntry</vt:lpstr>
      <vt:lpstr>PersVehicleTot</vt:lpstr>
      <vt:lpstr>'Cash Flows'!Print_Area</vt:lpstr>
      <vt:lpstr>'Final Balance Sheet'!Print_Area</vt:lpstr>
      <vt:lpstr>'Final Income and Cash Flows'!Print_Area</vt:lpstr>
      <vt:lpstr>'Financial Scorecard'!Print_Area</vt:lpstr>
      <vt:lpstr>ProposedLoans!Print_Area</vt:lpstr>
      <vt:lpstr>'Schedule F Cash to Accrual'!Print_Area</vt:lpstr>
      <vt:lpstr>'Schedule F Entry'!Print_Area</vt:lpstr>
      <vt:lpstr>'Cash Flows'!Print_Titles</vt:lpstr>
      <vt:lpstr>ProjPersonal</vt:lpstr>
      <vt:lpstr>ProjPersText</vt:lpstr>
      <vt:lpstr>RatiDtoEAGraph</vt:lpstr>
      <vt:lpstr>RatiDtoEALabel</vt:lpstr>
      <vt:lpstr>RatiDtoEAYear1</vt:lpstr>
      <vt:lpstr>RatiDtoEAYear2</vt:lpstr>
      <vt:lpstr>RatiNFIGraph</vt:lpstr>
      <vt:lpstr>RatiNFILabel</vt:lpstr>
      <vt:lpstr>RatiNFIYear1</vt:lpstr>
      <vt:lpstr>RatiNFIYear2</vt:lpstr>
      <vt:lpstr>RatioAssetTOProfitGraph</vt:lpstr>
      <vt:lpstr>RatioAssetTOProfitLabel</vt:lpstr>
      <vt:lpstr>RatioAssetTOProfitYear1</vt:lpstr>
      <vt:lpstr>RatioAssetTOProfitYear2</vt:lpstr>
      <vt:lpstr>RatioCurrentGraph</vt:lpstr>
      <vt:lpstr>RatioCurrentLabel</vt:lpstr>
      <vt:lpstr>RatioCurrentRatioCalc</vt:lpstr>
      <vt:lpstr>RatioCurrentYear1</vt:lpstr>
      <vt:lpstr>RatioCurrentYear2</vt:lpstr>
      <vt:lpstr>RatioDepExGraph</vt:lpstr>
      <vt:lpstr>RatioDepExLabel</vt:lpstr>
      <vt:lpstr>RatioDepExYear1</vt:lpstr>
      <vt:lpstr>RatioDepExYear2</vt:lpstr>
      <vt:lpstr>RatioDtoACalc</vt:lpstr>
      <vt:lpstr>RatioDtoAGraph</vt:lpstr>
      <vt:lpstr>RatioDtoALabel</vt:lpstr>
      <vt:lpstr>RatioDtoAYear1</vt:lpstr>
      <vt:lpstr>RatioDtoAYear2</vt:lpstr>
      <vt:lpstr>RatioDtoECalc</vt:lpstr>
      <vt:lpstr>RatioEtoAGraph</vt:lpstr>
      <vt:lpstr>RatioEtoALabel</vt:lpstr>
      <vt:lpstr>RatioEtoAYear1</vt:lpstr>
      <vt:lpstr>RatioEtoAYear2</vt:lpstr>
      <vt:lpstr>RatioIntExLabel</vt:lpstr>
      <vt:lpstr>RatioIntExpGraph</vt:lpstr>
      <vt:lpstr>RatioIntExYear1</vt:lpstr>
      <vt:lpstr>RatioIntExYear2</vt:lpstr>
      <vt:lpstr>RatioNetIncomeGraph</vt:lpstr>
      <vt:lpstr>RatioNetIncomeLabel</vt:lpstr>
      <vt:lpstr>RatioNetIncomeYear1</vt:lpstr>
      <vt:lpstr>RatioNetIncomeYear2</vt:lpstr>
      <vt:lpstr>RatioOpExGraph</vt:lpstr>
      <vt:lpstr>RatioOpExLabel</vt:lpstr>
      <vt:lpstr>RatioOpExYear1</vt:lpstr>
      <vt:lpstr>RatioOpExYear2</vt:lpstr>
      <vt:lpstr>RatioOpProfitGraph</vt:lpstr>
      <vt:lpstr>RatioOpProfitLabel</vt:lpstr>
      <vt:lpstr>RatioOpProfitYear1</vt:lpstr>
      <vt:lpstr>RatioOpProfitYear2</vt:lpstr>
      <vt:lpstr>RatioROAGraph</vt:lpstr>
      <vt:lpstr>RatioROALabel</vt:lpstr>
      <vt:lpstr>RatioROAYear1</vt:lpstr>
      <vt:lpstr>RatioROAYear2</vt:lpstr>
      <vt:lpstr>RatioROEGraph</vt:lpstr>
      <vt:lpstr>RatioROELabel</vt:lpstr>
      <vt:lpstr>RatioROEYear1</vt:lpstr>
      <vt:lpstr>RatioROEYear2</vt:lpstr>
      <vt:lpstr>RatioTDCProfitGraph</vt:lpstr>
      <vt:lpstr>RatioTDCProfitLabel</vt:lpstr>
      <vt:lpstr>RatioTDCProfitYear1</vt:lpstr>
      <vt:lpstr>RatioTDCProfitYear2</vt:lpstr>
      <vt:lpstr>RatioWCGraph</vt:lpstr>
      <vt:lpstr>RatioWCGRGraph</vt:lpstr>
      <vt:lpstr>RatioWCGRLabel</vt:lpstr>
      <vt:lpstr>RatioWCGRYear1</vt:lpstr>
      <vt:lpstr>RatioWCGRYear2</vt:lpstr>
      <vt:lpstr>RatioWCLabel</vt:lpstr>
      <vt:lpstr>RatioWCYear1</vt:lpstr>
      <vt:lpstr>RatioWCYear2</vt:lpstr>
      <vt:lpstr>RatioWorkingCapCalc</vt:lpstr>
      <vt:lpstr>schF10</vt:lpstr>
      <vt:lpstr>schF1099B</vt:lpstr>
      <vt:lpstr>schF1099BOptional</vt:lpstr>
      <vt:lpstr>schF11</vt:lpstr>
      <vt:lpstr>schF12</vt:lpstr>
      <vt:lpstr>schF13</vt:lpstr>
      <vt:lpstr>schF14</vt:lpstr>
      <vt:lpstr>schF15</vt:lpstr>
      <vt:lpstr>schF16</vt:lpstr>
      <vt:lpstr>schF17</vt:lpstr>
      <vt:lpstr>schF18</vt:lpstr>
      <vt:lpstr>schF19</vt:lpstr>
      <vt:lpstr>schF1a</vt:lpstr>
      <vt:lpstr>schF1b</vt:lpstr>
      <vt:lpstr>schF1c</vt:lpstr>
      <vt:lpstr>schF2</vt:lpstr>
      <vt:lpstr>schF20</vt:lpstr>
      <vt:lpstr>schF21a</vt:lpstr>
      <vt:lpstr>schF21b</vt:lpstr>
      <vt:lpstr>schF22</vt:lpstr>
      <vt:lpstr>schF23</vt:lpstr>
      <vt:lpstr>schF24a</vt:lpstr>
      <vt:lpstr>schF24b</vt:lpstr>
      <vt:lpstr>schF25</vt:lpstr>
      <vt:lpstr>schF26</vt:lpstr>
      <vt:lpstr>schF27</vt:lpstr>
      <vt:lpstr>schF28</vt:lpstr>
      <vt:lpstr>schF29</vt:lpstr>
      <vt:lpstr>schF30</vt:lpstr>
      <vt:lpstr>schF31</vt:lpstr>
      <vt:lpstr>schF32a</vt:lpstr>
      <vt:lpstr>schF32b</vt:lpstr>
      <vt:lpstr>schF32c</vt:lpstr>
      <vt:lpstr>schF32d</vt:lpstr>
      <vt:lpstr>schF32e</vt:lpstr>
      <vt:lpstr>schF32f</vt:lpstr>
      <vt:lpstr>schF33</vt:lpstr>
      <vt:lpstr>schF34</vt:lpstr>
      <vt:lpstr>schF3a</vt:lpstr>
      <vt:lpstr>schF3b</vt:lpstr>
      <vt:lpstr>schF4a</vt:lpstr>
      <vt:lpstr>schF4b</vt:lpstr>
      <vt:lpstr>schF5a</vt:lpstr>
      <vt:lpstr>schF5b</vt:lpstr>
      <vt:lpstr>schF5c</vt:lpstr>
      <vt:lpstr>schF6a</vt:lpstr>
      <vt:lpstr>schF6b</vt:lpstr>
      <vt:lpstr>schF6d</vt:lpstr>
      <vt:lpstr>schF7</vt:lpstr>
      <vt:lpstr>schF8</vt:lpstr>
      <vt:lpstr>schF9</vt:lpstr>
      <vt:lpstr>schF9Summary</vt:lpstr>
      <vt:lpstr>schFAAAccIntBeg</vt:lpstr>
      <vt:lpstr>schFAAAccIntEnd</vt:lpstr>
      <vt:lpstr>schFAAAPBeg</vt:lpstr>
      <vt:lpstr>schFAAAPEnd</vt:lpstr>
      <vt:lpstr>schFAAARBeg</vt:lpstr>
      <vt:lpstr>schFAAAREnd</vt:lpstr>
      <vt:lpstr>schFAACropBeg</vt:lpstr>
      <vt:lpstr>schFAACropEnd</vt:lpstr>
      <vt:lpstr>schFAAGrowCropBeg</vt:lpstr>
      <vt:lpstr>schFAAGrowCropEnd</vt:lpstr>
      <vt:lpstr>schFAAHedgeBeg</vt:lpstr>
      <vt:lpstr>schFAAHedgeEnd</vt:lpstr>
      <vt:lpstr>schFAAIncTaxBeg</vt:lpstr>
      <vt:lpstr>schFAAIncTaxEnd</vt:lpstr>
      <vt:lpstr>schFAALvskBeg</vt:lpstr>
      <vt:lpstr>schFAALvskEnd</vt:lpstr>
      <vt:lpstr>schFAAOthInvBeg</vt:lpstr>
      <vt:lpstr>schFAAOthInvEnd</vt:lpstr>
      <vt:lpstr>schFAAPrepaidBeg</vt:lpstr>
      <vt:lpstr>schFAAPrepaidEnd</vt:lpstr>
      <vt:lpstr>schFAssetsBuildBeg</vt:lpstr>
      <vt:lpstr>schFAssetsBuildEnd</vt:lpstr>
      <vt:lpstr>schFAssetsCashBeg</vt:lpstr>
      <vt:lpstr>schFAssetsCashEnd</vt:lpstr>
      <vt:lpstr>schFAssetsLandBeg</vt:lpstr>
      <vt:lpstr>schFAssetsLandEnd</vt:lpstr>
      <vt:lpstr>schFAssetsMachBeg</vt:lpstr>
      <vt:lpstr>schFAssetsMachEnd</vt:lpstr>
      <vt:lpstr>schFAssetsPersonalBeg</vt:lpstr>
      <vt:lpstr>schFAssetsPersonalEnd</vt:lpstr>
      <vt:lpstr>schFAssetsPLvskBeg</vt:lpstr>
      <vt:lpstr>schFAssetsPLvskEnd</vt:lpstr>
      <vt:lpstr>schFAssetsRLvskBeg</vt:lpstr>
      <vt:lpstr>schFAssetsRLvskEnd</vt:lpstr>
      <vt:lpstr>schFAssetsVehBeg</vt:lpstr>
      <vt:lpstr>schFAssetsVehEnd</vt:lpstr>
      <vt:lpstr>schFCCC5a</vt:lpstr>
      <vt:lpstr>schFCropIns6a</vt:lpstr>
      <vt:lpstr>schFCropIns6b</vt:lpstr>
      <vt:lpstr>schFCropIns6d</vt:lpstr>
      <vt:lpstr>schFCropInvChange</vt:lpstr>
      <vt:lpstr>schFCulls</vt:lpstr>
      <vt:lpstr>schFDeprBldg</vt:lpstr>
      <vt:lpstr>schFDeprEquip</vt:lpstr>
      <vt:lpstr>schFDeprVeh</vt:lpstr>
      <vt:lpstr>schFFamLiving</vt:lpstr>
      <vt:lpstr>schFFeederLivestock1b</vt:lpstr>
      <vt:lpstr>schFFeederPurch</vt:lpstr>
      <vt:lpstr>schFGiftsGive</vt:lpstr>
      <vt:lpstr>schFHedging</vt:lpstr>
      <vt:lpstr>schFInherit</vt:lpstr>
      <vt:lpstr>schFLoanOpLoanBorrow</vt:lpstr>
      <vt:lpstr>schFLoanOpLoanPay</vt:lpstr>
      <vt:lpstr>schFLoanTermBorrow</vt:lpstr>
      <vt:lpstr>schFLoanTermPay</vt:lpstr>
      <vt:lpstr>schFPAssBusInvPurch</vt:lpstr>
      <vt:lpstr>schFPAssBusInvSale</vt:lpstr>
      <vt:lpstr>schFPAssFurnishPurch</vt:lpstr>
      <vt:lpstr>schFPAssFurnishSale</vt:lpstr>
      <vt:lpstr>schFPAssLifeInsPurch</vt:lpstr>
      <vt:lpstr>schFPAssLifeInsSale</vt:lpstr>
      <vt:lpstr>schFPAssOtherPurch</vt:lpstr>
      <vt:lpstr>schFPAssOtherSale</vt:lpstr>
      <vt:lpstr>schFPAssREPurch</vt:lpstr>
      <vt:lpstr>schFPAssRESale</vt:lpstr>
      <vt:lpstr>schFPAssRetirePurch</vt:lpstr>
      <vt:lpstr>schFPAssRetireSale</vt:lpstr>
      <vt:lpstr>schFPAssStockPurch</vt:lpstr>
      <vt:lpstr>schFPAssStockSale</vt:lpstr>
      <vt:lpstr>schFPAssVehPurch</vt:lpstr>
      <vt:lpstr>schFPAssVehSale</vt:lpstr>
      <vt:lpstr>schFPersLoanTermBorrow</vt:lpstr>
      <vt:lpstr>schFPersLoanTermPay</vt:lpstr>
      <vt:lpstr>schFPersonalIncome</vt:lpstr>
      <vt:lpstr>schFPersonalLiabBeg</vt:lpstr>
      <vt:lpstr>schFPersonalLiabEnd</vt:lpstr>
      <vt:lpstr>schFPurchBldg</vt:lpstr>
      <vt:lpstr>schFPurchLand</vt:lpstr>
      <vt:lpstr>schFPurchlvsk</vt:lpstr>
      <vt:lpstr>schFPurchMach</vt:lpstr>
      <vt:lpstr>schFPurchOther</vt:lpstr>
      <vt:lpstr>schFPurchVehicle</vt:lpstr>
      <vt:lpstr>schFSaleBldg</vt:lpstr>
      <vt:lpstr>schFSaleLand</vt:lpstr>
      <vt:lpstr>schFSaleLvsk</vt:lpstr>
      <vt:lpstr>schFSaleMach</vt:lpstr>
      <vt:lpstr>schFSaleOther</vt:lpstr>
      <vt:lpstr>schFSaleVehicle</vt:lpstr>
      <vt:lpstr>schFTaxes</vt:lpstr>
      <vt:lpstr>schFValLaborMgmt</vt:lpstr>
      <vt:lpstr>ScorecardGraphNumber</vt:lpstr>
      <vt:lpstr>'Projected Inventory'!ScorecardGraphs</vt:lpstr>
      <vt:lpstr>ScorecardGraphs</vt:lpstr>
      <vt:lpstr>ScorecardGraphsChoice</vt:lpstr>
      <vt:lpstr>SliderAssetTOProfitGraph</vt:lpstr>
      <vt:lpstr>SliderCurrentGraph</vt:lpstr>
      <vt:lpstr>SliderDepExGraph</vt:lpstr>
      <vt:lpstr>SliderDtoAGraph</vt:lpstr>
      <vt:lpstr>SliderDtoEAGraph</vt:lpstr>
      <vt:lpstr>SliderEtoAGraph</vt:lpstr>
      <vt:lpstr>SliderIntExpGraph</vt:lpstr>
      <vt:lpstr>SliderNetIncomeGraph</vt:lpstr>
      <vt:lpstr>SliderNFIGraph</vt:lpstr>
      <vt:lpstr>SliderOpExGraph</vt:lpstr>
      <vt:lpstr>SliderOpProfitGraph</vt:lpstr>
      <vt:lpstr>SliderROAGraph</vt:lpstr>
      <vt:lpstr>SliderROEGraph</vt:lpstr>
      <vt:lpstr>SliderTDCProfitGraph</vt:lpstr>
      <vt:lpstr>SliderWCGraph</vt:lpstr>
      <vt:lpstr>SliderWCGRGraph</vt:lpstr>
      <vt:lpstr>State</vt:lpstr>
      <vt:lpstr>tabNameCheck</vt:lpstr>
      <vt:lpstr>tabSchF_Choice</vt:lpstr>
      <vt:lpstr>Year</vt:lpstr>
      <vt:lpstr>Year1</vt:lpstr>
      <vt:lpstr>Year1AccrInt</vt:lpstr>
      <vt:lpstr>Year1BusAssets</vt:lpstr>
      <vt:lpstr>Year1BusAssetsCurrent</vt:lpstr>
      <vt:lpstr>Year1BusLiab</vt:lpstr>
      <vt:lpstr>Year1BusLiabCurrent</vt:lpstr>
      <vt:lpstr>Year1DMOpExp</vt:lpstr>
      <vt:lpstr>Year1GCFI</vt:lpstr>
      <vt:lpstr>Year1GCIDM</vt:lpstr>
      <vt:lpstr>Year1NetWorth</vt:lpstr>
      <vt:lpstr>Year1OpExp</vt:lpstr>
      <vt:lpstr>Year1TermDebtPayments</vt:lpstr>
      <vt:lpstr>Year2</vt:lpstr>
      <vt:lpstr>Year2AccrIntProj</vt:lpstr>
      <vt:lpstr>Year2BusAssetsCurrentProj</vt:lpstr>
      <vt:lpstr>Year2BusAssetsProj</vt:lpstr>
      <vt:lpstr>Year2BusLiabCurrentProj</vt:lpstr>
      <vt:lpstr>Year2BusLiabProj</vt:lpstr>
      <vt:lpstr>Year2DMOpExpProj</vt:lpstr>
      <vt:lpstr>Year2GCFIProj</vt:lpstr>
      <vt:lpstr>Year2GCIDMProj</vt:lpstr>
      <vt:lpstr>Year2NetWorthProj</vt:lpstr>
      <vt:lpstr>Year2OpExpProj</vt:lpstr>
      <vt:lpstr>Year2TermDebtPaymentsProj</vt:lpstr>
      <vt:lpstr>Zip</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Curtis L Mahnken</dc:creator>
  <cp:lastModifiedBy>Curtis L Mahnken</cp:lastModifiedBy>
  <cp:lastPrinted>2020-09-29T20:37:59Z</cp:lastPrinted>
  <dcterms:created xsi:type="dcterms:W3CDTF">2006-07-10T06:45:51Z</dcterms:created>
  <dcterms:modified xsi:type="dcterms:W3CDTF">2021-04-21T14:28:53Z</dcterms:modified>
</cp:coreProperties>
</file>